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3"/>
  </bookViews>
  <sheets>
    <sheet name="ReadMe" sheetId="1" r:id="rId1"/>
    <sheet name="ASME-2A_and_2B_Threads" sheetId="2" r:id="rId2"/>
    <sheet name="ASME 2A and 2B Machine Screw Th" sheetId="3" r:id="rId3"/>
    <sheet name=" USS and SAE Threads" sheetId="4" r:id="rId4"/>
    <sheet name="Thread_Passes" sheetId="5" r:id="rId5"/>
  </sheets>
  <calcPr calcId="125725"/>
  <fileRecoveryPr repairLoad="1"/>
</workbook>
</file>

<file path=xl/calcChain.xml><?xml version="1.0" encoding="utf-8"?>
<calcChain xmlns="http://schemas.openxmlformats.org/spreadsheetml/2006/main">
  <c r="F40" i="5"/>
  <c r="F11"/>
  <c r="F7"/>
  <c r="F8" s="1"/>
  <c r="F10" s="1"/>
  <c r="F14" s="1"/>
  <c r="E17" s="1"/>
  <c r="B37" i="4"/>
  <c r="B15"/>
  <c r="B31" s="1"/>
  <c r="B12"/>
  <c r="B9"/>
  <c r="B11" s="1"/>
  <c r="B8"/>
  <c r="B10" s="1"/>
  <c r="B6"/>
  <c r="B21" s="1"/>
  <c r="B22" s="1"/>
  <c r="B37" i="3"/>
  <c r="B36"/>
  <c r="B33"/>
  <c r="B22"/>
  <c r="B16"/>
  <c r="B9"/>
  <c r="B8"/>
  <c r="B7"/>
  <c r="B25" s="1"/>
  <c r="B26" s="1"/>
  <c r="B6"/>
  <c r="B38" i="2"/>
  <c r="B37"/>
  <c r="B34"/>
  <c r="B12"/>
  <c r="B8"/>
  <c r="B7"/>
  <c r="B26" s="1"/>
  <c r="B27" s="1"/>
  <c r="A74" i="1"/>
  <c r="A42"/>
  <c r="E18" i="5" l="1"/>
  <c r="F17"/>
  <c r="B32" i="4"/>
  <c r="B9" i="2"/>
  <c r="B15"/>
  <c r="B10" i="3"/>
  <c r="B19" s="1"/>
  <c r="B34"/>
  <c r="B16" i="4"/>
  <c r="F12" i="5"/>
  <c r="B19" i="4"/>
  <c r="B11" i="2"/>
  <c r="B23"/>
  <c r="B10"/>
  <c r="B20" s="1"/>
  <c r="B11" i="3"/>
  <c r="B15"/>
  <c r="B7" i="4"/>
  <c r="B17"/>
  <c r="B18" l="1"/>
  <c r="B24" s="1"/>
  <c r="B29"/>
  <c r="B23"/>
  <c r="B30"/>
  <c r="B21" i="2"/>
  <c r="B24"/>
  <c r="B35" i="3"/>
  <c r="B36" i="2"/>
  <c r="B35" s="1"/>
  <c r="B12" i="3"/>
  <c r="B13"/>
  <c r="B27" i="4"/>
  <c r="B20"/>
  <c r="B28"/>
  <c r="B23" i="3"/>
  <c r="B20"/>
  <c r="F18" i="5"/>
  <c r="E19"/>
  <c r="B16" i="2"/>
  <c r="B17"/>
  <c r="B32" s="1"/>
  <c r="B33" s="1"/>
  <c r="B14" i="3" l="1"/>
  <c r="B31"/>
  <c r="B32" s="1"/>
  <c r="B22" i="2"/>
  <c r="E20" i="5"/>
  <c r="F19"/>
  <c r="B25" i="2"/>
  <c r="B29" s="1"/>
  <c r="B28"/>
  <c r="B27" i="3"/>
  <c r="B24"/>
  <c r="B28" s="1"/>
  <c r="B21"/>
  <c r="F20" i="5" l="1"/>
  <c r="E21"/>
  <c r="F21" l="1"/>
  <c r="E22"/>
  <c r="F22" l="1"/>
  <c r="E23"/>
  <c r="E24" l="1"/>
  <c r="F23"/>
  <c r="F24" l="1"/>
  <c r="E25"/>
  <c r="E26" l="1"/>
  <c r="F25"/>
  <c r="F26" l="1"/>
  <c r="E27"/>
  <c r="E28" l="1"/>
  <c r="F27"/>
  <c r="F28" l="1"/>
  <c r="E29"/>
  <c r="E30" l="1"/>
  <c r="F29"/>
  <c r="F30" l="1"/>
  <c r="E31"/>
  <c r="E32" l="1"/>
  <c r="F31"/>
  <c r="F32" l="1"/>
  <c r="E33"/>
  <c r="E34" l="1"/>
  <c r="F33"/>
  <c r="F34" l="1"/>
  <c r="E35"/>
  <c r="E36" l="1"/>
  <c r="F35"/>
  <c r="F36" l="1"/>
  <c r="E37"/>
  <c r="E38" l="1"/>
  <c r="F38" s="1"/>
  <c r="E39"/>
  <c r="F39" s="1"/>
  <c r="F37"/>
</calcChain>
</file>

<file path=xl/sharedStrings.xml><?xml version="1.0" encoding="utf-8"?>
<sst xmlns="http://schemas.openxmlformats.org/spreadsheetml/2006/main" count="179" uniqueCount="110">
  <si>
    <t>ReadMe - Page 1</t>
  </si>
  <si>
    <t>All calculations are performed via the tabs on the bottom.  You may have to scroll the tabs to see each one.</t>
  </si>
  <si>
    <t>I've tried to keep each of the tabs fitted to a single letter sized sheet of paper.   So, due to the lack of space on the various tabs, special instructions for each of the tabs are noted below.</t>
  </si>
  <si>
    <t>All Sheets:</t>
  </si>
  <si>
    <t>To calculate Pitch Diameter from Measurement over Wires:</t>
  </si>
  <si>
    <r>
      <t>d</t>
    </r>
    <r>
      <rPr>
        <b/>
        <sz val="8"/>
        <color rgb="FF000000"/>
        <rFont val="Arial"/>
        <family val="2"/>
      </rPr>
      <t>2</t>
    </r>
    <r>
      <rPr>
        <b/>
        <sz val="14"/>
        <color rgb="FF000000"/>
        <rFont val="Arial"/>
        <family val="2"/>
      </rPr>
      <t xml:space="preserve"> = M</t>
    </r>
    <r>
      <rPr>
        <b/>
        <sz val="8"/>
        <color rgb="FF000000"/>
        <rFont val="Arial"/>
        <family val="2"/>
      </rPr>
      <t>w</t>
    </r>
    <r>
      <rPr>
        <b/>
        <sz val="14"/>
        <color rgb="FF000000"/>
        <rFont val="Arial"/>
        <family val="2"/>
      </rPr>
      <t>+(0.866025*P)-(3*W)</t>
    </r>
  </si>
  <si>
    <t>To calculate Measurement over Wires from Pitch Diameter:</t>
  </si>
  <si>
    <t>Mw = d2-(0.866025*P)+(3*W)</t>
  </si>
  <si>
    <t>If you are cutting a thread to fit a high quality nut/bolt, give yourself about a 0.001” to 0.002” allowance on all dimensions, otherwise the fit of the nut/bolt will be extremely tight.  “Store Bought” nuts/bolts, are hit and miss.  I've found some cheap nuts/bolts that even cutting to the minimum size for nuts, or maximum size for bolts, they were still loose, because their tolerances were already maxed out. Your experience may be different, but measuring with a good set of thread wires will give you a good idea what's going on.</t>
  </si>
  <si>
    <t>ASME-2A and 2B Threads sheet:</t>
  </si>
  <si>
    <r>
      <t xml:space="preserve">  The value for </t>
    </r>
    <r>
      <rPr>
        <b/>
        <sz val="14"/>
        <color rgb="FF000000"/>
        <rFont val="Arial"/>
        <family val="2"/>
      </rPr>
      <t>UNC</t>
    </r>
    <r>
      <rPr>
        <sz val="14"/>
        <color rgb="FF000000"/>
        <rFont val="Arial"/>
        <family val="2"/>
      </rPr>
      <t xml:space="preserve">, </t>
    </r>
    <r>
      <rPr>
        <b/>
        <sz val="14"/>
        <color rgb="FF000000"/>
        <rFont val="Arial"/>
        <family val="2"/>
      </rPr>
      <t>UNF</t>
    </r>
    <r>
      <rPr>
        <sz val="14"/>
        <color rgb="FF000000"/>
        <rFont val="Arial"/>
        <family val="2"/>
      </rPr>
      <t xml:space="preserve">, </t>
    </r>
    <r>
      <rPr>
        <b/>
        <sz val="14"/>
        <color rgb="FF000000"/>
        <rFont val="Arial"/>
        <family val="2"/>
      </rPr>
      <t>UNEF</t>
    </r>
    <r>
      <rPr>
        <sz val="14"/>
        <color rgb="FF000000"/>
        <rFont val="Arial"/>
        <family val="2"/>
      </rPr>
      <t xml:space="preserve">, or </t>
    </r>
    <r>
      <rPr>
        <b/>
        <sz val="14"/>
        <color rgb="FF000000"/>
        <rFont val="Arial"/>
        <family val="2"/>
      </rPr>
      <t>UN</t>
    </r>
    <r>
      <rPr>
        <sz val="14"/>
        <color rgb="FF000000"/>
        <rFont val="Arial"/>
        <family val="2"/>
      </rPr>
      <t xml:space="preserve"> needs to be set, because this affects how the External Pitch Diameter Tolerance is set.  If unknown, use </t>
    </r>
    <r>
      <rPr>
        <b/>
        <sz val="14"/>
        <color rgb="FF000000"/>
        <rFont val="Arial"/>
        <family val="2"/>
      </rPr>
      <t>UN</t>
    </r>
    <r>
      <rPr>
        <sz val="14"/>
        <color rgb="FF000000"/>
        <rFont val="Arial"/>
        <family val="2"/>
      </rPr>
      <t>, as you won't be off more than a couple of tenths.</t>
    </r>
  </si>
  <si>
    <r>
      <t xml:space="preserve">  *  External cutter tip width rounded to external thread root (</t>
    </r>
    <r>
      <rPr>
        <b/>
        <sz val="14"/>
        <color rgb="FF000000"/>
        <rFont val="Arial"/>
        <family val="2"/>
      </rPr>
      <t>F</t>
    </r>
    <r>
      <rPr>
        <b/>
        <sz val="8"/>
        <color rgb="FF000000"/>
        <rFont val="Arial"/>
        <family val="2"/>
      </rPr>
      <t>rs</t>
    </r>
    <r>
      <rPr>
        <sz val="14"/>
        <color rgb="FF000000"/>
        <rFont val="Arial"/>
        <family val="2"/>
      </rPr>
      <t>).  Internal cutter tip width rounded to internal thread root (</t>
    </r>
    <r>
      <rPr>
        <b/>
        <sz val="14"/>
        <color rgb="FF000000"/>
        <rFont val="Arial"/>
        <family val="2"/>
      </rPr>
      <t>F</t>
    </r>
    <r>
      <rPr>
        <b/>
        <sz val="8"/>
        <color rgb="FF000000"/>
        <rFont val="Arial"/>
        <family val="2"/>
      </rPr>
      <t>rn</t>
    </r>
    <r>
      <rPr>
        <sz val="14"/>
        <color rgb="FF000000"/>
        <rFont val="Arial"/>
        <family val="2"/>
      </rPr>
      <t>).</t>
    </r>
  </si>
  <si>
    <t>ASME 2A and 2B Machine Screw Threads sheet:</t>
  </si>
  <si>
    <t>USS and SAE Threads sheet:</t>
  </si>
  <si>
    <r>
      <t xml:space="preserve">  **  External, and Internal cutter tip width rounded to flat (</t>
    </r>
    <r>
      <rPr>
        <b/>
        <sz val="14"/>
        <color rgb="FF000000"/>
        <rFont val="Arial"/>
        <family val="2"/>
      </rPr>
      <t>F</t>
    </r>
    <r>
      <rPr>
        <b/>
        <sz val="8"/>
        <color rgb="FF000000"/>
        <rFont val="Arial"/>
        <family val="2"/>
      </rPr>
      <t>c</t>
    </r>
    <r>
      <rPr>
        <b/>
        <sz val="14"/>
        <color rgb="FF000000"/>
        <rFont val="Arial"/>
        <family val="2"/>
      </rPr>
      <t>/F</t>
    </r>
    <r>
      <rPr>
        <b/>
        <sz val="8"/>
        <color rgb="FF000000"/>
        <rFont val="Arial"/>
        <family val="2"/>
      </rPr>
      <t>r</t>
    </r>
    <r>
      <rPr>
        <sz val="14"/>
        <color rgb="FF000000"/>
        <rFont val="Arial"/>
        <family val="2"/>
      </rPr>
      <t>)</t>
    </r>
  </si>
  <si>
    <t>20170618</t>
  </si>
  <si>
    <t>ReadMe - Page 2</t>
  </si>
  <si>
    <r>
      <t xml:space="preserve">  The information in this spreadsheet came from many sources.  The bulk of the information on the USS, and SAE Threads, came out of the Machineries Handbook, 12</t>
    </r>
    <r>
      <rPr>
        <vertAlign val="superscript"/>
        <sz val="14"/>
        <color rgb="FF000000"/>
        <rFont val="Arial"/>
        <family val="2"/>
      </rPr>
      <t>th</t>
    </r>
    <r>
      <rPr>
        <sz val="14"/>
        <color rgb="FF000000"/>
        <rFont val="Arial"/>
        <family val="2"/>
      </rPr>
      <t xml:space="preserve"> ed., and the Screw Thread Production for Close Limits PDF file, located on Google Books: http://books.google.com  The information for the ASME threads came mostly from ASME-B1.1-2003, and The Machineries Handbook, 27</t>
    </r>
    <r>
      <rPr>
        <vertAlign val="superscript"/>
        <sz val="14"/>
        <color rgb="FF000000"/>
        <rFont val="Arial"/>
        <family val="2"/>
      </rPr>
      <t>th</t>
    </r>
    <r>
      <rPr>
        <sz val="14"/>
        <color rgb="FF000000"/>
        <rFont val="Arial"/>
        <family val="2"/>
      </rPr>
      <t xml:space="preserve"> ed.</t>
    </r>
  </si>
  <si>
    <r>
      <t xml:space="preserve">  The information on using the 3-wire measuring system, came from the Machineries Handbook, 27</t>
    </r>
    <r>
      <rPr>
        <vertAlign val="superscript"/>
        <sz val="14"/>
        <color rgb="FF000000"/>
        <rFont val="Arial"/>
        <family val="2"/>
      </rPr>
      <t>th</t>
    </r>
    <r>
      <rPr>
        <sz val="14"/>
        <color rgb="FF000000"/>
        <rFont val="Arial"/>
        <family val="2"/>
      </rPr>
      <t xml:space="preserve"> ed., and were tested using Pee Dee Thread Measuring Wires: http://www.fishermachine.com/  (no association)</t>
    </r>
  </si>
  <si>
    <r>
      <t xml:space="preserve">  So far, all of the threads that I've calculated for the ASME threads, were within 0.0002” of the actual measurements listed in the Machineries Handbook, 27</t>
    </r>
    <r>
      <rPr>
        <vertAlign val="superscript"/>
        <sz val="14"/>
        <color rgb="FF000000"/>
        <rFont val="Arial"/>
        <family val="2"/>
      </rPr>
      <t>th</t>
    </r>
    <r>
      <rPr>
        <sz val="14"/>
        <color rgb="FF000000"/>
        <rFont val="Arial"/>
        <family val="2"/>
      </rPr>
      <t xml:space="preserve"> ed..</t>
    </r>
  </si>
  <si>
    <t>The Pitch Diameter Tolerance for the USS/SAE threads were a pain to get right.  Anyway, they seem to be good now.  I had to “Adjust” a couple of formulas, so that they followed the thread specs.   All of the threads are within 0.0003” of the Actual measurements listed in the Screw Thread Production for Close Limits PDF.</t>
  </si>
  <si>
    <t>All of the threads, both ASME, and USS/SAE, that have subsequently been cut, were well within 0.001” of the actual standards.  More than adequate for my use.</t>
  </si>
  <si>
    <t>This spreadsheet has protection turned on for everything but the light gray boxes at the top of each sheet.   There is no password for the protection, so you can modify it as you see fit.  It's only there to prevent accidental changes occurring to the math calculations, which, were difficult enough to do the first time.</t>
  </si>
  <si>
    <t>If you do modify this spreadsheet, let me know.  My email is: farmerboy1967@yahoo.com.</t>
  </si>
  <si>
    <t>NOTE:  I removed the specs for creating a machine screw tap, due to using two conflicting standards.  I will add it back again, when I can get hold of a copy of ASME B94.9</t>
  </si>
  <si>
    <t>ChangeLog</t>
  </si>
  <si>
    <t>20120516  Why, oh why, did I not put this in earlier?</t>
  </si>
  <si>
    <t>20120516  Modified the Thread_Passes tab.  It now looks, and functions much better.</t>
  </si>
  <si>
    <t>20120519  Minor Cleanup.</t>
  </si>
  <si>
    <t>20131221  Modified scripts to use ^1/3 instead of ^0.333.  This is to conform with cube root standard.  Minor text changes / cleanup</t>
  </si>
  <si>
    <t>20150223  Made a change to the Pee Dee wire sizes to conform more closely to the Pee Dee wire chart.  Thanks to Michael Calahan for finding the discrepancy.</t>
  </si>
  <si>
    <t>20150226  Changed the autocorrect function to always uppercase UNC UNF UNEF UN</t>
  </si>
  <si>
    <t>20160724  Changed the Thread Passes tab to use either a defaut 2A/2B thread depth, or a custom depth.</t>
  </si>
  <si>
    <t>20170125  Moved the depth of thread into it's own section.</t>
  </si>
  <si>
    <t>20170129  Cleaned up the Thread Data section a bit more.  Deleted double depth of thread for compound angle, because I have never seen a compound that had a dial setup for double depth.</t>
  </si>
  <si>
    <t>20170326  Minor re-arrangement of thread data.  All formulas have stayed the same.</t>
  </si>
  <si>
    <t>20170528  Minor cleanup - No modifications to formulas.</t>
  </si>
  <si>
    <t>20170618  Fixed the issue with UN, UNC, UNF, UNEF.  The formula now accepts both UPPER CASE, and lower case</t>
  </si>
  <si>
    <t>ASME B1.1 Inch Threads</t>
  </si>
  <si>
    <r>
      <t>Basic (Nominal) Diameter (</t>
    </r>
    <r>
      <rPr>
        <b/>
        <sz val="14"/>
        <color rgb="FF000000"/>
        <rFont val="Arial"/>
        <family val="2"/>
      </rPr>
      <t>dbsc</t>
    </r>
    <r>
      <rPr>
        <sz val="14"/>
        <color rgb="FF000000"/>
        <rFont val="Arial"/>
        <family val="2"/>
      </rPr>
      <t>/</t>
    </r>
    <r>
      <rPr>
        <b/>
        <sz val="14"/>
        <color rgb="FF000000"/>
        <rFont val="Arial"/>
        <family val="2"/>
      </rPr>
      <t>Dbsc</t>
    </r>
    <r>
      <rPr>
        <sz val="14"/>
        <color rgb="FF000000"/>
        <rFont val="Arial"/>
        <family val="2"/>
      </rPr>
      <t>) =</t>
    </r>
  </si>
  <si>
    <r>
      <t>Threads per Inch (</t>
    </r>
    <r>
      <rPr>
        <b/>
        <sz val="14"/>
        <color rgb="FF000000"/>
        <rFont val="Arial"/>
        <family val="2"/>
      </rPr>
      <t>TPI</t>
    </r>
    <r>
      <rPr>
        <sz val="14"/>
        <color rgb="FF000000"/>
        <rFont val="Arial"/>
        <family val="2"/>
      </rPr>
      <t>) =</t>
    </r>
  </si>
  <si>
    <r>
      <t>Coarse=</t>
    </r>
    <r>
      <rPr>
        <b/>
        <sz val="13"/>
        <color rgb="FF000000"/>
        <rFont val="Arial"/>
        <family val="2"/>
      </rPr>
      <t>UNC</t>
    </r>
    <r>
      <rPr>
        <sz val="13"/>
        <color rgb="FF000000"/>
        <rFont val="Arial"/>
        <family val="2"/>
      </rPr>
      <t>, Fine=</t>
    </r>
    <r>
      <rPr>
        <b/>
        <sz val="13"/>
        <color rgb="FF000000"/>
        <rFont val="Arial"/>
        <family val="2"/>
      </rPr>
      <t>UNF</t>
    </r>
    <r>
      <rPr>
        <sz val="13"/>
        <color rgb="FF000000"/>
        <rFont val="Arial"/>
        <family val="2"/>
      </rPr>
      <t>, Extra Fine=</t>
    </r>
    <r>
      <rPr>
        <b/>
        <sz val="13"/>
        <color rgb="FF000000"/>
        <rFont val="Arial"/>
        <family val="2"/>
      </rPr>
      <t>UNEF</t>
    </r>
    <r>
      <rPr>
        <sz val="13"/>
        <color rgb="FF000000"/>
        <rFont val="Arial"/>
        <family val="2"/>
      </rPr>
      <t>.  Everything else=</t>
    </r>
    <r>
      <rPr>
        <b/>
        <sz val="13"/>
        <color rgb="FF000000"/>
        <rFont val="Arial"/>
        <family val="2"/>
      </rPr>
      <t>UN</t>
    </r>
    <r>
      <rPr>
        <sz val="13"/>
        <color rgb="FF000000"/>
        <rFont val="Arial"/>
        <family val="2"/>
      </rPr>
      <t xml:space="preserve">  =</t>
    </r>
  </si>
  <si>
    <t>UNC</t>
  </si>
  <si>
    <t>Basic Information</t>
  </si>
  <si>
    <r>
      <t>Thread Pitch (</t>
    </r>
    <r>
      <rPr>
        <b/>
        <sz val="14"/>
        <color rgb="FF000000"/>
        <rFont val="Arial"/>
        <family val="2"/>
      </rPr>
      <t>P</t>
    </r>
    <r>
      <rPr>
        <sz val="14"/>
        <color rgb="FF000000"/>
        <rFont val="Arial"/>
        <family val="2"/>
      </rPr>
      <t>) =</t>
    </r>
  </si>
  <si>
    <r>
      <t>Thread Height (</t>
    </r>
    <r>
      <rPr>
        <b/>
        <sz val="14"/>
        <color rgb="FF000000"/>
        <rFont val="Arial"/>
        <family val="2"/>
      </rPr>
      <t>H</t>
    </r>
    <r>
      <rPr>
        <sz val="14"/>
        <color rgb="FF000000"/>
        <rFont val="Arial"/>
        <family val="2"/>
      </rPr>
      <t>) =</t>
    </r>
  </si>
  <si>
    <r>
      <t>Internal Minimum Diameter Tolerance (</t>
    </r>
    <r>
      <rPr>
        <b/>
        <sz val="14"/>
        <color rgb="FF000000"/>
        <rFont val="Arial"/>
        <family val="2"/>
      </rPr>
      <t>TD</t>
    </r>
    <r>
      <rPr>
        <b/>
        <sz val="8"/>
        <color rgb="FF000000"/>
        <rFont val="Arial"/>
        <family val="2"/>
      </rPr>
      <t>1</t>
    </r>
    <r>
      <rPr>
        <sz val="14"/>
        <color rgb="FF000000"/>
        <rFont val="Arial"/>
        <family val="2"/>
      </rPr>
      <t>) =</t>
    </r>
  </si>
  <si>
    <r>
      <t>External Pitch Diameter Tolerance (</t>
    </r>
    <r>
      <rPr>
        <b/>
        <sz val="14"/>
        <color rgb="FF000000"/>
        <rFont val="Arial"/>
        <family val="2"/>
      </rPr>
      <t>Td</t>
    </r>
    <r>
      <rPr>
        <b/>
        <sz val="8"/>
        <color rgb="FF000000"/>
        <rFont val="Arial"/>
        <family val="2"/>
      </rPr>
      <t>2</t>
    </r>
    <r>
      <rPr>
        <sz val="14"/>
        <color rgb="FF000000"/>
        <rFont val="Arial"/>
        <family val="2"/>
      </rPr>
      <t>) =</t>
    </r>
  </si>
  <si>
    <r>
      <t>Flat on External Thread Root and Internal Thread Crest (</t>
    </r>
    <r>
      <rPr>
        <b/>
        <sz val="13"/>
        <color rgb="FF000000"/>
        <rFont val="Arial"/>
        <family val="2"/>
      </rPr>
      <t>F</t>
    </r>
    <r>
      <rPr>
        <b/>
        <sz val="8"/>
        <color rgb="FF000000"/>
        <rFont val="Arial"/>
        <family val="2"/>
      </rPr>
      <t>rs</t>
    </r>
    <r>
      <rPr>
        <sz val="13"/>
        <color rgb="FF000000"/>
        <rFont val="Arial"/>
        <family val="2"/>
      </rPr>
      <t>/</t>
    </r>
    <r>
      <rPr>
        <b/>
        <sz val="13"/>
        <color rgb="FF000000"/>
        <rFont val="Arial"/>
        <family val="2"/>
      </rPr>
      <t>F</t>
    </r>
    <r>
      <rPr>
        <b/>
        <sz val="8"/>
        <color rgb="FF000000"/>
        <rFont val="Arial"/>
        <family val="2"/>
      </rPr>
      <t>cn</t>
    </r>
    <r>
      <rPr>
        <sz val="13"/>
        <color rgb="FF000000"/>
        <rFont val="Arial"/>
        <family val="2"/>
      </rPr>
      <t>) =</t>
    </r>
  </si>
  <si>
    <r>
      <t>Flat on External Thread Crest and Internal Thread Root (</t>
    </r>
    <r>
      <rPr>
        <b/>
        <sz val="13"/>
        <color rgb="FF000000"/>
        <rFont val="Arial"/>
        <family val="2"/>
      </rPr>
      <t>F</t>
    </r>
    <r>
      <rPr>
        <b/>
        <sz val="8"/>
        <color rgb="FF000000"/>
        <rFont val="Arial"/>
        <family val="2"/>
      </rPr>
      <t>cs</t>
    </r>
    <r>
      <rPr>
        <sz val="13"/>
        <color rgb="FF000000"/>
        <rFont val="Arial"/>
        <family val="2"/>
      </rPr>
      <t>/</t>
    </r>
    <r>
      <rPr>
        <b/>
        <sz val="13"/>
        <color rgb="FF000000"/>
        <rFont val="Arial"/>
        <family val="2"/>
      </rPr>
      <t>F</t>
    </r>
    <r>
      <rPr>
        <b/>
        <sz val="8"/>
        <color rgb="FF000000"/>
        <rFont val="Arial"/>
        <family val="2"/>
      </rPr>
      <t>rn</t>
    </r>
    <r>
      <rPr>
        <sz val="13"/>
        <color rgb="FF000000"/>
        <rFont val="Arial"/>
        <family val="2"/>
      </rPr>
      <t>) =</t>
    </r>
  </si>
  <si>
    <t>Threading Data</t>
  </si>
  <si>
    <r>
      <t>Single Depth of Thread * (</t>
    </r>
    <r>
      <rPr>
        <b/>
        <sz val="14"/>
        <color rgb="FF000000"/>
        <rFont val="Arial"/>
        <family val="2"/>
      </rPr>
      <t>h</t>
    </r>
    <r>
      <rPr>
        <sz val="8"/>
        <color rgb="FF000000"/>
        <rFont val="Arial"/>
        <family val="2"/>
      </rPr>
      <t>n</t>
    </r>
    <r>
      <rPr>
        <sz val="14"/>
        <color rgb="FF000000"/>
        <rFont val="Arial"/>
        <family val="2"/>
      </rPr>
      <t>) =</t>
    </r>
  </si>
  <si>
    <t>Single Depth @ 29.5 Degrees =</t>
  </si>
  <si>
    <r>
      <t>Double Depth of Thread (</t>
    </r>
    <r>
      <rPr>
        <b/>
        <sz val="14"/>
        <color rgb="FF000000"/>
        <rFont val="Arial"/>
        <family val="2"/>
      </rPr>
      <t>h</t>
    </r>
    <r>
      <rPr>
        <b/>
        <sz val="8"/>
        <color rgb="FF000000"/>
        <rFont val="Arial"/>
        <family val="2"/>
      </rPr>
      <t>n2</t>
    </r>
    <r>
      <rPr>
        <sz val="14"/>
        <color rgb="FF000000"/>
        <rFont val="Arial"/>
        <family val="2"/>
      </rPr>
      <t>) =</t>
    </r>
  </si>
  <si>
    <t>External Threads (2A)</t>
  </si>
  <si>
    <r>
      <t>Maximum Major Diameter (</t>
    </r>
    <r>
      <rPr>
        <b/>
        <sz val="14"/>
        <color rgb="FF000000"/>
        <rFont val="Arial"/>
        <family val="2"/>
      </rPr>
      <t>d</t>
    </r>
    <r>
      <rPr>
        <b/>
        <sz val="8"/>
        <color rgb="FF000000"/>
        <rFont val="Arial"/>
        <family val="2"/>
      </rPr>
      <t>max</t>
    </r>
    <r>
      <rPr>
        <sz val="14"/>
        <color rgb="FF000000"/>
        <rFont val="Arial"/>
        <family val="2"/>
      </rPr>
      <t>) =</t>
    </r>
  </si>
  <si>
    <r>
      <t>Minimum Major Diameter (</t>
    </r>
    <r>
      <rPr>
        <b/>
        <sz val="14"/>
        <color rgb="FF000000"/>
        <rFont val="Arial"/>
        <family val="2"/>
      </rPr>
      <t>d</t>
    </r>
    <r>
      <rPr>
        <b/>
        <sz val="8"/>
        <color rgb="FF000000"/>
        <rFont val="Arial"/>
        <family val="2"/>
      </rPr>
      <t>min</t>
    </r>
    <r>
      <rPr>
        <sz val="14"/>
        <color rgb="FF000000"/>
        <rFont val="Arial"/>
        <family val="2"/>
      </rPr>
      <t>) =</t>
    </r>
  </si>
  <si>
    <r>
      <t>Maximum Minor Diameter (</t>
    </r>
    <r>
      <rPr>
        <b/>
        <sz val="14"/>
        <color rgb="FF000000"/>
        <rFont val="Arial"/>
        <family val="2"/>
      </rPr>
      <t>d1</t>
    </r>
    <r>
      <rPr>
        <b/>
        <sz val="8"/>
        <color rgb="FF000000"/>
        <rFont val="Arial"/>
        <family val="2"/>
      </rPr>
      <t>max</t>
    </r>
    <r>
      <rPr>
        <sz val="14"/>
        <color rgb="FF000000"/>
        <rFont val="Arial"/>
        <family val="2"/>
      </rPr>
      <t>) =</t>
    </r>
  </si>
  <si>
    <r>
      <t>Basic Pitch Diameter (</t>
    </r>
    <r>
      <rPr>
        <b/>
        <sz val="14"/>
        <color rgb="FF000000"/>
        <rFont val="Arial"/>
        <family val="2"/>
      </rPr>
      <t>d</t>
    </r>
    <r>
      <rPr>
        <b/>
        <sz val="8"/>
        <color rgb="FF000000"/>
        <rFont val="Arial"/>
        <family val="2"/>
      </rPr>
      <t>2</t>
    </r>
    <r>
      <rPr>
        <sz val="14"/>
        <color rgb="FF000000"/>
        <rFont val="Arial"/>
        <family val="2"/>
      </rPr>
      <t>) =</t>
    </r>
  </si>
  <si>
    <r>
      <t>Maximum Pitch Diameter (</t>
    </r>
    <r>
      <rPr>
        <b/>
        <sz val="14"/>
        <color rgb="FF000000"/>
        <rFont val="Arial"/>
        <family val="2"/>
      </rPr>
      <t>d</t>
    </r>
    <r>
      <rPr>
        <b/>
        <sz val="8"/>
        <color rgb="FF000000"/>
        <rFont val="Arial"/>
        <family val="2"/>
      </rPr>
      <t>2max</t>
    </r>
    <r>
      <rPr>
        <sz val="14"/>
        <color rgb="FF000000"/>
        <rFont val="Arial"/>
        <family val="2"/>
      </rPr>
      <t>) =</t>
    </r>
  </si>
  <si>
    <r>
      <t>Minimum Pitch Diameter (</t>
    </r>
    <r>
      <rPr>
        <b/>
        <sz val="14"/>
        <color rgb="FF000000"/>
        <rFont val="Arial"/>
        <family val="2"/>
      </rPr>
      <t>d</t>
    </r>
    <r>
      <rPr>
        <b/>
        <sz val="8"/>
        <color rgb="FF000000"/>
        <rFont val="Arial"/>
        <family val="2"/>
      </rPr>
      <t>2min</t>
    </r>
    <r>
      <rPr>
        <sz val="14"/>
        <color rgb="FF000000"/>
        <rFont val="Arial"/>
        <family val="2"/>
      </rPr>
      <t>) =</t>
    </r>
  </si>
  <si>
    <r>
      <t>Best Wire Size (</t>
    </r>
    <r>
      <rPr>
        <b/>
        <sz val="14"/>
        <color rgb="FF000000"/>
        <rFont val="Arial"/>
        <family val="2"/>
      </rPr>
      <t>W</t>
    </r>
    <r>
      <rPr>
        <sz val="14"/>
        <color rgb="FF000000"/>
        <rFont val="Arial"/>
        <family val="2"/>
      </rPr>
      <t>) =</t>
    </r>
  </si>
  <si>
    <r>
      <t>Pee Dee Wire Size (</t>
    </r>
    <r>
      <rPr>
        <b/>
        <sz val="14"/>
        <color rgb="FF000000"/>
        <rFont val="Arial"/>
        <family val="2"/>
      </rPr>
      <t>W</t>
    </r>
    <r>
      <rPr>
        <b/>
        <sz val="8"/>
        <color rgb="FF000000"/>
        <rFont val="Arial"/>
        <family val="2"/>
      </rPr>
      <t>pd</t>
    </r>
    <r>
      <rPr>
        <sz val="14"/>
        <color rgb="FF000000"/>
        <rFont val="Arial"/>
        <family val="2"/>
      </rPr>
      <t>) =</t>
    </r>
  </si>
  <si>
    <r>
      <t>Maximum Measurement over Pee Dee Wires (</t>
    </r>
    <r>
      <rPr>
        <b/>
        <sz val="14"/>
        <color rgb="FF000000"/>
        <rFont val="Arial"/>
        <family val="2"/>
      </rPr>
      <t>M</t>
    </r>
    <r>
      <rPr>
        <b/>
        <sz val="8"/>
        <color rgb="FF000000"/>
        <rFont val="Arial"/>
        <family val="2"/>
      </rPr>
      <t>wmax</t>
    </r>
    <r>
      <rPr>
        <sz val="14"/>
        <color rgb="FF000000"/>
        <rFont val="Arial"/>
        <family val="2"/>
      </rPr>
      <t>) =</t>
    </r>
  </si>
  <si>
    <r>
      <t>Minimum Measurement over Pee Dee Wires (</t>
    </r>
    <r>
      <rPr>
        <b/>
        <sz val="14"/>
        <color rgb="FF000000"/>
        <rFont val="Arial"/>
        <family val="2"/>
      </rPr>
      <t>M</t>
    </r>
    <r>
      <rPr>
        <b/>
        <sz val="8"/>
        <color rgb="FF000000"/>
        <rFont val="Arial"/>
        <family val="2"/>
      </rPr>
      <t>wmin</t>
    </r>
    <r>
      <rPr>
        <sz val="14"/>
        <color rgb="FF000000"/>
        <rFont val="Arial"/>
        <family val="2"/>
      </rPr>
      <t>) =</t>
    </r>
  </si>
  <si>
    <t>Internal Threads (2B)</t>
  </si>
  <si>
    <r>
      <t>Minimum Minor Diameter (</t>
    </r>
    <r>
      <rPr>
        <b/>
        <sz val="14"/>
        <color rgb="FF000000"/>
        <rFont val="Arial"/>
        <family val="2"/>
      </rPr>
      <t>D</t>
    </r>
    <r>
      <rPr>
        <b/>
        <sz val="8"/>
        <color rgb="FF000000"/>
        <rFont val="Arial"/>
        <family val="2"/>
      </rPr>
      <t>1min</t>
    </r>
    <r>
      <rPr>
        <sz val="14"/>
        <color rgb="FF000000"/>
        <rFont val="Arial"/>
        <family val="2"/>
      </rPr>
      <t>)=</t>
    </r>
  </si>
  <si>
    <r>
      <t>Maximum Minor Diameter (</t>
    </r>
    <r>
      <rPr>
        <b/>
        <sz val="14"/>
        <color rgb="FF000000"/>
        <rFont val="Arial"/>
        <family val="2"/>
      </rPr>
      <t>D</t>
    </r>
    <r>
      <rPr>
        <b/>
        <sz val="8"/>
        <color rgb="FF000000"/>
        <rFont val="Arial"/>
        <family val="2"/>
      </rPr>
      <t>1max</t>
    </r>
    <r>
      <rPr>
        <sz val="14"/>
        <color rgb="FF000000"/>
        <rFont val="Arial"/>
        <family val="2"/>
      </rPr>
      <t>) =</t>
    </r>
  </si>
  <si>
    <r>
      <t>Minimum Pitch Diameter (</t>
    </r>
    <r>
      <rPr>
        <b/>
        <sz val="14"/>
        <color rgb="FF000000"/>
        <rFont val="Arial"/>
        <family val="2"/>
      </rPr>
      <t>D</t>
    </r>
    <r>
      <rPr>
        <b/>
        <sz val="8"/>
        <color rgb="FF000000"/>
        <rFont val="Arial"/>
        <family val="2"/>
      </rPr>
      <t>2min</t>
    </r>
    <r>
      <rPr>
        <sz val="14"/>
        <color rgb="FF000000"/>
        <rFont val="Arial"/>
        <family val="2"/>
      </rPr>
      <t>) =</t>
    </r>
  </si>
  <si>
    <r>
      <t>Basic Pitch Diameter (</t>
    </r>
    <r>
      <rPr>
        <b/>
        <sz val="14"/>
        <color rgb="FF000000"/>
        <rFont val="Arial"/>
        <family val="2"/>
      </rPr>
      <t>D</t>
    </r>
    <r>
      <rPr>
        <b/>
        <sz val="8"/>
        <color rgb="FF000000"/>
        <rFont val="Arial"/>
        <family val="2"/>
      </rPr>
      <t>2</t>
    </r>
    <r>
      <rPr>
        <sz val="14"/>
        <color rgb="FF000000"/>
        <rFont val="Arial"/>
        <family val="2"/>
      </rPr>
      <t>) =</t>
    </r>
  </si>
  <si>
    <r>
      <t>Maximum Pitch Diameter (</t>
    </r>
    <r>
      <rPr>
        <b/>
        <sz val="14"/>
        <color rgb="FF000000"/>
        <rFont val="Arial"/>
        <family val="2"/>
      </rPr>
      <t>D</t>
    </r>
    <r>
      <rPr>
        <b/>
        <sz val="8"/>
        <color rgb="FF000000"/>
        <rFont val="Arial"/>
        <family val="2"/>
      </rPr>
      <t>2max</t>
    </r>
    <r>
      <rPr>
        <sz val="14"/>
        <color rgb="FF000000"/>
        <rFont val="Arial"/>
        <family val="2"/>
      </rPr>
      <t>) =</t>
    </r>
  </si>
  <si>
    <r>
      <t>Minimum Major Diameter (</t>
    </r>
    <r>
      <rPr>
        <b/>
        <sz val="14"/>
        <color rgb="FF000000"/>
        <rFont val="Arial"/>
        <family val="2"/>
      </rPr>
      <t>D</t>
    </r>
    <r>
      <rPr>
        <b/>
        <sz val="8"/>
        <color rgb="FF000000"/>
        <rFont val="Arial"/>
        <family val="2"/>
      </rPr>
      <t>min</t>
    </r>
    <r>
      <rPr>
        <sz val="14"/>
        <color rgb="FF000000"/>
        <rFont val="Arial"/>
        <family val="2"/>
      </rPr>
      <t>) =</t>
    </r>
  </si>
  <si>
    <t>See ReadMe for additional instructions.</t>
  </si>
  <si>
    <t>ASME B1.1 Machine Screw Threads</t>
  </si>
  <si>
    <r>
      <t>Screw Number (</t>
    </r>
    <r>
      <rPr>
        <b/>
        <sz val="14"/>
        <color rgb="FF000000"/>
        <rFont val="Arial"/>
        <family val="2"/>
      </rPr>
      <t>S</t>
    </r>
    <r>
      <rPr>
        <b/>
        <sz val="8"/>
        <color rgb="FF000000"/>
        <rFont val="Arial"/>
        <family val="2"/>
      </rPr>
      <t>n</t>
    </r>
    <r>
      <rPr>
        <sz val="14"/>
        <color rgb="FF000000"/>
        <rFont val="Arial"/>
        <family val="2"/>
      </rPr>
      <t>) =</t>
    </r>
  </si>
  <si>
    <r>
      <t>Single Depth of Thread * (</t>
    </r>
    <r>
      <rPr>
        <b/>
        <sz val="14"/>
        <color rgb="FF000000"/>
        <rFont val="Arial"/>
        <family val="2"/>
      </rPr>
      <t>hn</t>
    </r>
    <r>
      <rPr>
        <sz val="14"/>
        <color rgb="FF000000"/>
        <rFont val="Arial"/>
        <family val="2"/>
      </rPr>
      <t>) =</t>
    </r>
  </si>
  <si>
    <r>
      <t>Double Depth of Thread (</t>
    </r>
    <r>
      <rPr>
        <b/>
        <sz val="14"/>
        <color rgb="FF000000"/>
        <rFont val="Arial"/>
        <family val="2"/>
      </rPr>
      <t>hn2</t>
    </r>
    <r>
      <rPr>
        <sz val="14"/>
        <color rgb="FF000000"/>
        <rFont val="Arial"/>
        <family val="2"/>
      </rPr>
      <t>) =</t>
    </r>
  </si>
  <si>
    <t>Single Depth of Thread In-feed @ 29.5 Degrees =</t>
  </si>
  <si>
    <t>Double Depth of Thread In-feed @ 29.5 Degrees =</t>
  </si>
  <si>
    <t>USS (Coarse) and SAE (Fine) Inch Threads</t>
  </si>
  <si>
    <r>
      <t>Major Diameter (</t>
    </r>
    <r>
      <rPr>
        <b/>
        <sz val="14"/>
        <color rgb="FF000000"/>
        <rFont val="Arial"/>
        <family val="2"/>
      </rPr>
      <t>d</t>
    </r>
    <r>
      <rPr>
        <sz val="14"/>
        <color rgb="FF000000"/>
        <rFont val="Arial"/>
        <family val="2"/>
      </rPr>
      <t>/</t>
    </r>
    <r>
      <rPr>
        <b/>
        <sz val="14"/>
        <color rgb="FF000000"/>
        <rFont val="Arial"/>
        <family val="2"/>
      </rPr>
      <t>D</t>
    </r>
    <r>
      <rPr>
        <sz val="14"/>
        <color rgb="FF000000"/>
        <rFont val="Arial"/>
        <family val="2"/>
      </rPr>
      <t>) =</t>
    </r>
  </si>
  <si>
    <r>
      <t>Single Depth of Thread ** (</t>
    </r>
    <r>
      <rPr>
        <b/>
        <sz val="14"/>
        <color rgb="FF000000"/>
        <rFont val="Arial"/>
        <family val="2"/>
      </rPr>
      <t>h</t>
    </r>
    <r>
      <rPr>
        <sz val="8"/>
        <color rgb="FF000000"/>
        <rFont val="Arial"/>
        <family val="2"/>
      </rPr>
      <t>n</t>
    </r>
    <r>
      <rPr>
        <sz val="14"/>
        <color rgb="FF000000"/>
        <rFont val="Arial"/>
        <family val="2"/>
      </rPr>
      <t>) =</t>
    </r>
  </si>
  <si>
    <r>
      <t>Flat on Crest and Root of Threads (</t>
    </r>
    <r>
      <rPr>
        <b/>
        <sz val="14"/>
        <color rgb="FF000000"/>
        <rFont val="Arial"/>
        <family val="2"/>
      </rPr>
      <t>F</t>
    </r>
    <r>
      <rPr>
        <b/>
        <sz val="8"/>
        <color rgb="FF000000"/>
        <rFont val="Arial"/>
        <family val="2"/>
      </rPr>
      <t>c</t>
    </r>
    <r>
      <rPr>
        <sz val="14"/>
        <color rgb="FF000000"/>
        <rFont val="Arial"/>
        <family val="2"/>
      </rPr>
      <t>/</t>
    </r>
    <r>
      <rPr>
        <b/>
        <sz val="14"/>
        <color rgb="FF000000"/>
        <rFont val="Arial"/>
        <family val="2"/>
      </rPr>
      <t>F</t>
    </r>
    <r>
      <rPr>
        <b/>
        <sz val="8"/>
        <color rgb="FF000000"/>
        <rFont val="Arial"/>
        <family val="2"/>
      </rPr>
      <t>r</t>
    </r>
    <r>
      <rPr>
        <sz val="14"/>
        <color rgb="FF000000"/>
        <rFont val="Arial"/>
        <family val="2"/>
      </rPr>
      <t>) =</t>
    </r>
  </si>
  <si>
    <t>External Threads</t>
  </si>
  <si>
    <r>
      <t>Minimum Pitch Diameter(</t>
    </r>
    <r>
      <rPr>
        <b/>
        <sz val="14"/>
        <color rgb="FF000000"/>
        <rFont val="Arial"/>
        <family val="2"/>
      </rPr>
      <t>d</t>
    </r>
    <r>
      <rPr>
        <b/>
        <sz val="8"/>
        <color rgb="FF000000"/>
        <rFont val="Arial"/>
        <family val="2"/>
      </rPr>
      <t>2min</t>
    </r>
    <r>
      <rPr>
        <sz val="14"/>
        <color rgb="FF000000"/>
        <rFont val="Arial"/>
        <family val="2"/>
      </rPr>
      <t>) =</t>
    </r>
  </si>
  <si>
    <r>
      <t>Maximum Minor Diameter (</t>
    </r>
    <r>
      <rPr>
        <b/>
        <sz val="14"/>
        <color rgb="FF000000"/>
        <rFont val="Arial"/>
        <family val="2"/>
      </rPr>
      <t>d</t>
    </r>
    <r>
      <rPr>
        <b/>
        <sz val="8"/>
        <color rgb="FF000000"/>
        <rFont val="Arial"/>
        <family val="2"/>
      </rPr>
      <t>1max</t>
    </r>
    <r>
      <rPr>
        <sz val="14"/>
        <color rgb="FF000000"/>
        <rFont val="Arial"/>
        <family val="2"/>
      </rPr>
      <t>) =</t>
    </r>
  </si>
  <si>
    <r>
      <t>Minimum Minor Diameter (</t>
    </r>
    <r>
      <rPr>
        <b/>
        <sz val="14"/>
        <color rgb="FF000000"/>
        <rFont val="Arial"/>
        <family val="2"/>
      </rPr>
      <t>d</t>
    </r>
    <r>
      <rPr>
        <b/>
        <sz val="8"/>
        <color rgb="FF000000"/>
        <rFont val="Arial"/>
        <family val="2"/>
      </rPr>
      <t>1min</t>
    </r>
    <r>
      <rPr>
        <sz val="14"/>
        <color rgb="FF000000"/>
        <rFont val="Arial"/>
        <family val="2"/>
      </rPr>
      <t>) =</t>
    </r>
  </si>
  <si>
    <t>Internal Threads</t>
  </si>
  <si>
    <r>
      <t>Minimum Minor Diameter (</t>
    </r>
    <r>
      <rPr>
        <b/>
        <sz val="14"/>
        <color rgb="FF000000"/>
        <rFont val="Arial"/>
        <family val="2"/>
      </rPr>
      <t>D</t>
    </r>
    <r>
      <rPr>
        <b/>
        <sz val="8"/>
        <color rgb="FF000000"/>
        <rFont val="Arial"/>
        <family val="2"/>
      </rPr>
      <t>1min</t>
    </r>
    <r>
      <rPr>
        <sz val="14"/>
        <color rgb="FF000000"/>
        <rFont val="Arial"/>
        <family val="2"/>
      </rPr>
      <t>) =</t>
    </r>
  </si>
  <si>
    <r>
      <t>Minimum Pitch Diameter(</t>
    </r>
    <r>
      <rPr>
        <b/>
        <sz val="14"/>
        <color rgb="FF000000"/>
        <rFont val="Arial"/>
        <family val="2"/>
      </rPr>
      <t>D</t>
    </r>
    <r>
      <rPr>
        <b/>
        <sz val="8"/>
        <color rgb="FF000000"/>
        <rFont val="Arial"/>
        <family val="2"/>
      </rPr>
      <t>2min</t>
    </r>
    <r>
      <rPr>
        <sz val="14"/>
        <color rgb="FF000000"/>
        <rFont val="Arial"/>
        <family val="2"/>
      </rPr>
      <t>) =</t>
    </r>
  </si>
  <si>
    <r>
      <t>Maximum Major Diameter (</t>
    </r>
    <r>
      <rPr>
        <b/>
        <sz val="14"/>
        <color rgb="FF000000"/>
        <rFont val="Arial"/>
        <family val="2"/>
      </rPr>
      <t>D</t>
    </r>
    <r>
      <rPr>
        <b/>
        <sz val="8"/>
        <color rgb="FF000000"/>
        <rFont val="Arial"/>
        <family val="2"/>
      </rPr>
      <t>max</t>
    </r>
    <r>
      <rPr>
        <sz val="14"/>
        <color rgb="FF000000"/>
        <rFont val="Arial"/>
        <family val="2"/>
      </rPr>
      <t>) =</t>
    </r>
  </si>
  <si>
    <t>Thread Cutting Passes.</t>
  </si>
  <si>
    <r>
      <t>2A/2B Threads - Threads per Inch (</t>
    </r>
    <r>
      <rPr>
        <b/>
        <sz val="14"/>
        <color rgb="FF000000"/>
        <rFont val="Arial"/>
        <family val="2"/>
      </rPr>
      <t>TPI</t>
    </r>
    <r>
      <rPr>
        <sz val="14"/>
        <color rgb="FF000000"/>
        <rFont val="Arial"/>
        <family val="2"/>
      </rPr>
      <t xml:space="preserve">) </t>
    </r>
  </si>
  <si>
    <t>OR</t>
  </si>
  <si>
    <r>
      <t>Single Depth of Threads (</t>
    </r>
    <r>
      <rPr>
        <b/>
        <sz val="14"/>
        <color rgb="FF000000"/>
        <rFont val="Arial"/>
        <family val="2"/>
      </rPr>
      <t>h</t>
    </r>
    <r>
      <rPr>
        <b/>
        <sz val="8"/>
        <color rgb="FF000000"/>
        <rFont val="Arial"/>
        <family val="2"/>
      </rPr>
      <t>n</t>
    </r>
    <r>
      <rPr>
        <sz val="14"/>
        <color rgb="FF000000"/>
        <rFont val="Arial"/>
        <family val="2"/>
      </rPr>
      <t xml:space="preserve">) </t>
    </r>
  </si>
  <si>
    <t>Iron/Steel = I, Cast Iron = C, Non Ferrous = N</t>
  </si>
  <si>
    <t>I</t>
  </si>
  <si>
    <r>
      <t>Thread Pitch (</t>
    </r>
    <r>
      <rPr>
        <b/>
        <sz val="14"/>
        <color rgb="FF000000"/>
        <rFont val="Arial"/>
        <family val="2"/>
      </rPr>
      <t>P</t>
    </r>
    <r>
      <rPr>
        <sz val="14"/>
        <color rgb="FF000000"/>
        <rFont val="Arial"/>
        <family val="2"/>
      </rPr>
      <t xml:space="preserve">) </t>
    </r>
  </si>
  <si>
    <r>
      <t>Single Depth of Thread (</t>
    </r>
    <r>
      <rPr>
        <b/>
        <sz val="14"/>
        <color rgb="FF000000"/>
        <rFont val="Arial"/>
        <family val="2"/>
      </rPr>
      <t>h</t>
    </r>
    <r>
      <rPr>
        <b/>
        <sz val="10"/>
        <color rgb="FF000000"/>
        <rFont val="Arial"/>
        <family val="2"/>
      </rPr>
      <t>n</t>
    </r>
    <r>
      <rPr>
        <sz val="14"/>
        <color rgb="FF000000"/>
        <rFont val="Arial"/>
        <family val="2"/>
      </rPr>
      <t xml:space="preserve">) </t>
    </r>
  </si>
  <si>
    <r>
      <t>Last Path Depth  (</t>
    </r>
    <r>
      <rPr>
        <b/>
        <sz val="14"/>
        <color rgb="FF000000"/>
        <rFont val="Arial"/>
        <family val="2"/>
      </rPr>
      <t>L</t>
    </r>
    <r>
      <rPr>
        <sz val="14"/>
        <color rgb="FF000000"/>
        <rFont val="Arial"/>
        <family val="2"/>
      </rPr>
      <t xml:space="preserve">) </t>
    </r>
  </si>
  <si>
    <r>
      <t>Thread Depth minus Last Path Depth  (</t>
    </r>
    <r>
      <rPr>
        <b/>
        <sz val="14"/>
        <color rgb="FF000000"/>
        <rFont val="Arial"/>
        <family val="2"/>
      </rPr>
      <t>D</t>
    </r>
    <r>
      <rPr>
        <sz val="14"/>
        <color rgb="FF000000"/>
        <rFont val="Arial"/>
        <family val="2"/>
      </rPr>
      <t xml:space="preserve">) </t>
    </r>
  </si>
  <si>
    <r>
      <t>Tangent  (</t>
    </r>
    <r>
      <rPr>
        <b/>
        <sz val="14"/>
        <color rgb="FF000000"/>
        <rFont val="Arial"/>
        <family val="2"/>
      </rPr>
      <t>T</t>
    </r>
    <r>
      <rPr>
        <sz val="14"/>
        <color rgb="FF000000"/>
        <rFont val="Arial"/>
        <family val="2"/>
      </rPr>
      <t xml:space="preserve">) </t>
    </r>
  </si>
  <si>
    <r>
      <t>Area  (</t>
    </r>
    <r>
      <rPr>
        <b/>
        <sz val="14"/>
        <color rgb="FF000000"/>
        <rFont val="Arial"/>
        <family val="2"/>
      </rPr>
      <t>A</t>
    </r>
    <r>
      <rPr>
        <sz val="14"/>
        <color rgb="FF000000"/>
        <rFont val="Arial"/>
        <family val="2"/>
      </rPr>
      <t xml:space="preserve">) </t>
    </r>
  </si>
  <si>
    <r>
      <t>Number of Passes  (</t>
    </r>
    <r>
      <rPr>
        <b/>
        <sz val="14"/>
        <color rgb="FF000000"/>
        <rFont val="Arial"/>
        <family val="2"/>
      </rPr>
      <t>N</t>
    </r>
    <r>
      <rPr>
        <sz val="14"/>
        <color rgb="FF000000"/>
        <rFont val="Arial"/>
        <family val="2"/>
      </rPr>
      <t xml:space="preserve">) </t>
    </r>
  </si>
  <si>
    <r>
      <t>Area Ratio  (</t>
    </r>
    <r>
      <rPr>
        <b/>
        <sz val="14"/>
        <color rgb="FF000000"/>
        <rFont val="Arial"/>
        <family val="2"/>
      </rPr>
      <t>a</t>
    </r>
    <r>
      <rPr>
        <sz val="14"/>
        <color rgb="FF000000"/>
        <rFont val="Arial"/>
        <family val="2"/>
      </rPr>
      <t xml:space="preserve">) </t>
    </r>
  </si>
  <si>
    <t>Depth of Thread per Pass</t>
  </si>
  <si>
    <t>Single</t>
  </si>
  <si>
    <t>Double</t>
  </si>
  <si>
    <t>Pass</t>
  </si>
  <si>
    <t>Spring means to run another threading pass without moving the compound.</t>
  </si>
</sst>
</file>

<file path=xl/styles.xml><?xml version="1.0" encoding="utf-8"?>
<styleSheet xmlns="http://schemas.openxmlformats.org/spreadsheetml/2006/main">
  <numFmts count="5">
    <numFmt numFmtId="164" formatCode="#,##0.0000"/>
    <numFmt numFmtId="165" formatCode="#,##0.000"/>
    <numFmt numFmtId="166" formatCode="#,##0.00000"/>
    <numFmt numFmtId="167" formatCode="#,##0.000000"/>
    <numFmt numFmtId="168" formatCode="0.0000"/>
  </numFmts>
  <fonts count="21">
    <font>
      <sz val="10"/>
      <name val="Arial"/>
      <family val="2"/>
    </font>
    <font>
      <b/>
      <sz val="36"/>
      <color rgb="FF000000"/>
      <name val="Arial"/>
      <family val="2"/>
    </font>
    <font>
      <sz val="10.5"/>
      <color rgb="FF000000"/>
      <name val="Arial"/>
      <family val="2"/>
    </font>
    <font>
      <sz val="14"/>
      <color rgb="FF000000"/>
      <name val="Arial"/>
      <family val="2"/>
    </font>
    <font>
      <sz val="14"/>
      <name val="Arial"/>
      <family val="2"/>
    </font>
    <font>
      <b/>
      <sz val="14"/>
      <color rgb="FF000000"/>
      <name val="Arial"/>
      <family val="2"/>
    </font>
    <font>
      <sz val="10"/>
      <color rgb="FF000000"/>
      <name val="Arial"/>
      <family val="2"/>
    </font>
    <font>
      <b/>
      <sz val="8"/>
      <color rgb="FF000000"/>
      <name val="Arial"/>
      <family val="2"/>
    </font>
    <font>
      <vertAlign val="superscript"/>
      <sz val="14"/>
      <color rgb="FF000000"/>
      <name val="Arial"/>
      <family val="2"/>
    </font>
    <font>
      <b/>
      <sz val="26"/>
      <color rgb="FF000000"/>
      <name val="Arial"/>
      <family val="2"/>
    </font>
    <font>
      <sz val="32"/>
      <color rgb="FF000000"/>
      <name val="Arial"/>
      <family val="2"/>
    </font>
    <font>
      <sz val="13"/>
      <color rgb="FF000000"/>
      <name val="Arial"/>
      <family val="2"/>
    </font>
    <font>
      <b/>
      <sz val="13"/>
      <color rgb="FF000000"/>
      <name val="Arial"/>
      <family val="2"/>
    </font>
    <font>
      <b/>
      <sz val="24"/>
      <color rgb="FF000000"/>
      <name val="Arial"/>
      <family val="2"/>
    </font>
    <font>
      <sz val="8"/>
      <color rgb="FF000000"/>
      <name val="Arial"/>
      <family val="2"/>
    </font>
    <font>
      <b/>
      <sz val="14"/>
      <name val="Arial"/>
      <family val="2"/>
    </font>
    <font>
      <b/>
      <sz val="22"/>
      <color rgb="FF000000"/>
      <name val="Arial"/>
      <family val="2"/>
    </font>
    <font>
      <b/>
      <u/>
      <sz val="14"/>
      <color rgb="FF000000"/>
      <name val="Arial"/>
      <family val="2"/>
    </font>
    <font>
      <b/>
      <sz val="10"/>
      <color rgb="FF000000"/>
      <name val="Arial"/>
      <family val="2"/>
    </font>
    <font>
      <b/>
      <sz val="16"/>
      <color rgb="FF000000"/>
      <name val="Arial"/>
      <family val="2"/>
    </font>
    <font>
      <b/>
      <sz val="16"/>
      <name val="Arial"/>
      <family val="2"/>
    </font>
  </fonts>
  <fills count="5">
    <fill>
      <patternFill patternType="none"/>
    </fill>
    <fill>
      <patternFill patternType="gray125"/>
    </fill>
    <fill>
      <patternFill patternType="solid">
        <fgColor rgb="FFE6E6E6"/>
        <bgColor rgb="FFFFFFCC"/>
      </patternFill>
    </fill>
    <fill>
      <patternFill patternType="solid">
        <fgColor rgb="FFCCCCCC"/>
        <bgColor rgb="FFC0C0C0"/>
      </patternFill>
    </fill>
    <fill>
      <patternFill patternType="solid">
        <fgColor rgb="FFC0C0C0"/>
        <bgColor rgb="FFCCCCCC"/>
      </patternFill>
    </fill>
  </fills>
  <borders count="9">
    <border>
      <left/>
      <right/>
      <top/>
      <bottom/>
      <diagonal/>
    </border>
    <border>
      <left style="thick">
        <color auto="1"/>
      </left>
      <right style="thick">
        <color auto="1"/>
      </right>
      <top style="thick">
        <color auto="1"/>
      </top>
      <bottom style="thick">
        <color auto="1"/>
      </bottom>
      <diagonal/>
    </border>
    <border>
      <left style="medium">
        <color auto="1"/>
      </left>
      <right style="medium">
        <color auto="1"/>
      </right>
      <top style="medium">
        <color auto="1"/>
      </top>
      <bottom style="medium">
        <color auto="1"/>
      </bottom>
      <diagonal/>
    </border>
    <border>
      <left style="thick">
        <color auto="1"/>
      </left>
      <right style="thick">
        <color auto="1"/>
      </right>
      <top style="thick">
        <color auto="1"/>
      </top>
      <bottom style="hair">
        <color auto="1"/>
      </bottom>
      <diagonal/>
    </border>
    <border>
      <left style="thick">
        <color auto="1"/>
      </left>
      <right style="thick">
        <color auto="1"/>
      </right>
      <top style="hair">
        <color auto="1"/>
      </top>
      <bottom style="hair">
        <color auto="1"/>
      </bottom>
      <diagonal/>
    </border>
    <border>
      <left style="thick">
        <color auto="1"/>
      </left>
      <right style="thick">
        <color auto="1"/>
      </right>
      <top style="hair">
        <color auto="1"/>
      </top>
      <bottom style="thick">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s>
  <cellStyleXfs count="1">
    <xf numFmtId="0" fontId="0" fillId="0" borderId="0"/>
  </cellStyleXfs>
  <cellXfs count="122">
    <xf numFmtId="0" fontId="0" fillId="0" borderId="0" xfId="0"/>
    <xf numFmtId="0" fontId="6" fillId="0" borderId="0" xfId="0" applyFont="1" applyAlignment="1">
      <alignment horizontal="left" vertical="center"/>
    </xf>
    <xf numFmtId="0" fontId="19" fillId="0" borderId="2" xfId="0" applyFont="1" applyBorder="1" applyAlignment="1">
      <alignment horizontal="center" vertical="center"/>
    </xf>
    <xf numFmtId="0" fontId="3" fillId="0" borderId="8"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13" fillId="0" borderId="2"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pplyProtection="1">
      <alignment horizontal="center" vertical="center"/>
    </xf>
    <xf numFmtId="0" fontId="16" fillId="0" borderId="1" xfId="0" applyFont="1" applyBorder="1" applyAlignment="1" applyProtection="1">
      <alignment horizontal="center" vertical="center"/>
    </xf>
    <xf numFmtId="0" fontId="1" fillId="0" borderId="1" xfId="0" applyFont="1" applyBorder="1" applyAlignment="1">
      <alignment horizontal="center" vertical="center" wrapText="1"/>
    </xf>
    <xf numFmtId="0" fontId="2" fillId="0" borderId="0" xfId="0" applyFont="1"/>
    <xf numFmtId="0" fontId="3" fillId="0" borderId="0" xfId="0" applyFont="1" applyBorder="1" applyAlignment="1">
      <alignment horizontal="left" wrapText="1"/>
    </xf>
    <xf numFmtId="0" fontId="3" fillId="0" borderId="0" xfId="0" applyFont="1" applyAlignment="1">
      <alignment horizontal="left"/>
    </xf>
    <xf numFmtId="0" fontId="4" fillId="0" borderId="0" xfId="0" applyFont="1" applyAlignment="1">
      <alignment horizontal="left"/>
    </xf>
    <xf numFmtId="0" fontId="3" fillId="0" borderId="0" xfId="0" applyFont="1" applyAlignment="1">
      <alignment wrapText="1"/>
    </xf>
    <xf numFmtId="0" fontId="2" fillId="0" borderId="0" xfId="0" applyFont="1" applyAlignment="1">
      <alignment wrapText="1"/>
    </xf>
    <xf numFmtId="0" fontId="0" fillId="0" borderId="0" xfId="0" applyAlignment="1">
      <alignment wrapText="1"/>
    </xf>
    <xf numFmtId="0" fontId="5" fillId="0" borderId="0" xfId="0" applyFont="1" applyAlignment="1">
      <alignment horizontal="center" vertical="center" wrapText="1"/>
    </xf>
    <xf numFmtId="0" fontId="3" fillId="0" borderId="0" xfId="0" applyFont="1" applyAlignment="1" applyProtection="1">
      <alignment horizontal="left" vertical="center"/>
    </xf>
    <xf numFmtId="0" fontId="6" fillId="0" borderId="0" xfId="0" applyFont="1" applyProtection="1"/>
    <xf numFmtId="0" fontId="5" fillId="0" borderId="0" xfId="0" applyFont="1" applyAlignment="1" applyProtection="1">
      <alignment horizontal="center" vertical="center"/>
    </xf>
    <xf numFmtId="0" fontId="5" fillId="0" borderId="0" xfId="0" applyFont="1" applyAlignment="1" applyProtection="1">
      <alignment horizontal="center" vertical="center" wrapText="1"/>
    </xf>
    <xf numFmtId="0" fontId="6" fillId="0" borderId="0" xfId="0" applyFont="1" applyAlignment="1" applyProtection="1">
      <alignment wrapText="1"/>
    </xf>
    <xf numFmtId="0" fontId="3" fillId="0" borderId="0" xfId="0" applyFont="1" applyAlignment="1" applyProtection="1">
      <alignment horizontal="left" vertical="center" wrapText="1"/>
    </xf>
    <xf numFmtId="0" fontId="5" fillId="0" borderId="0" xfId="0" applyFont="1" applyAlignment="1">
      <alignment horizontal="center" wrapText="1"/>
    </xf>
    <xf numFmtId="0" fontId="3" fillId="0" borderId="0" xfId="0" applyFont="1" applyAlignment="1">
      <alignment horizontal="left" wrapText="1"/>
    </xf>
    <xf numFmtId="0" fontId="3" fillId="0" borderId="0" xfId="0" applyFont="1" applyAlignment="1" applyProtection="1">
      <alignment horizontal="left" wrapText="1"/>
    </xf>
    <xf numFmtId="0" fontId="2" fillId="0" borderId="0" xfId="0" applyFont="1" applyAlignment="1">
      <alignment vertical="center" wrapText="1"/>
    </xf>
    <xf numFmtId="0" fontId="2" fillId="0" borderId="0" xfId="0" applyFont="1" applyAlignment="1">
      <alignment vertical="center"/>
    </xf>
    <xf numFmtId="49" fontId="6" fillId="0" borderId="0" xfId="0" applyNumberFormat="1" applyFont="1" applyAlignment="1">
      <alignment horizontal="right" vertical="center"/>
    </xf>
    <xf numFmtId="0" fontId="1" fillId="0" borderId="1" xfId="0" applyFont="1" applyBorder="1" applyAlignment="1" applyProtection="1">
      <alignment horizontal="center" vertical="center" wrapText="1"/>
    </xf>
    <xf numFmtId="0" fontId="0" fillId="0" borderId="0" xfId="0" applyAlignment="1"/>
    <xf numFmtId="0" fontId="0" fillId="0" borderId="0" xfId="0" applyAlignment="1">
      <alignment horizontal="right" vertical="center"/>
    </xf>
    <xf numFmtId="0" fontId="1" fillId="0" borderId="2" xfId="0" applyFont="1" applyBorder="1" applyAlignment="1">
      <alignment horizontal="center" vertical="center"/>
    </xf>
    <xf numFmtId="0" fontId="6" fillId="0" borderId="0" xfId="0" applyFont="1" applyAlignment="1">
      <alignment vertical="center"/>
    </xf>
    <xf numFmtId="1" fontId="3" fillId="0" borderId="0" xfId="0" applyNumberFormat="1" applyFont="1" applyAlignment="1">
      <alignment horizontal="left" vertical="center" wrapText="1" indent="1"/>
    </xf>
    <xf numFmtId="0" fontId="4" fillId="0" borderId="0" xfId="0" applyFont="1" applyAlignment="1">
      <alignment wrapText="1"/>
    </xf>
    <xf numFmtId="0" fontId="3" fillId="0" borderId="0" xfId="0" applyFont="1" applyAlignment="1">
      <alignment horizontal="left" vertical="center" wrapText="1" indent="1"/>
    </xf>
    <xf numFmtId="0" fontId="9" fillId="0" borderId="1" xfId="0" applyFont="1" applyBorder="1" applyAlignment="1" applyProtection="1">
      <alignment horizontal="center" vertical="center"/>
    </xf>
    <xf numFmtId="0" fontId="10" fillId="0" borderId="0" xfId="0" applyFont="1" applyProtection="1"/>
    <xf numFmtId="0" fontId="6" fillId="0" borderId="0" xfId="0" applyFont="1"/>
    <xf numFmtId="0" fontId="3" fillId="0" borderId="3" xfId="0" applyFont="1" applyBorder="1" applyAlignment="1" applyProtection="1">
      <alignment horizontal="right" vertical="center"/>
    </xf>
    <xf numFmtId="164" fontId="5" fillId="2" borderId="3" xfId="0" applyNumberFormat="1" applyFont="1" applyFill="1" applyBorder="1" applyAlignment="1" applyProtection="1">
      <alignment horizontal="center" vertical="center"/>
      <protection locked="0"/>
    </xf>
    <xf numFmtId="0" fontId="3" fillId="0" borderId="4" xfId="0" applyFont="1" applyBorder="1" applyAlignment="1" applyProtection="1">
      <alignment horizontal="right" vertical="center"/>
    </xf>
    <xf numFmtId="165" fontId="5" fillId="2" borderId="4" xfId="0" applyNumberFormat="1" applyFont="1" applyFill="1" applyBorder="1" applyAlignment="1" applyProtection="1">
      <alignment horizontal="center" vertical="center"/>
      <protection locked="0"/>
    </xf>
    <xf numFmtId="0" fontId="11" fillId="0" borderId="5" xfId="0" applyFont="1" applyBorder="1" applyAlignment="1" applyProtection="1">
      <alignment horizontal="right" vertical="center"/>
    </xf>
    <xf numFmtId="166" fontId="5" fillId="2" borderId="5" xfId="0" applyNumberFormat="1" applyFont="1" applyFill="1" applyBorder="1" applyAlignment="1" applyProtection="1">
      <alignment horizontal="center" vertical="center"/>
      <protection locked="0"/>
    </xf>
    <xf numFmtId="0" fontId="3" fillId="0" borderId="6" xfId="0" applyFont="1" applyBorder="1" applyAlignment="1" applyProtection="1">
      <alignment horizontal="right" vertical="center"/>
    </xf>
    <xf numFmtId="164" fontId="5" fillId="0" borderId="6" xfId="0" applyNumberFormat="1" applyFont="1" applyBorder="1" applyAlignment="1" applyProtection="1">
      <alignment horizontal="center" vertical="center"/>
    </xf>
    <xf numFmtId="0" fontId="3" fillId="0" borderId="7" xfId="0" applyFont="1" applyBorder="1" applyAlignment="1" applyProtection="1">
      <alignment horizontal="right" vertical="center"/>
    </xf>
    <xf numFmtId="164" fontId="5" fillId="0" borderId="7" xfId="0" applyNumberFormat="1" applyFont="1" applyBorder="1" applyAlignment="1" applyProtection="1">
      <alignment horizontal="center" vertical="center"/>
    </xf>
    <xf numFmtId="167" fontId="5" fillId="0" borderId="7" xfId="0" applyNumberFormat="1" applyFont="1" applyBorder="1" applyAlignment="1" applyProtection="1">
      <alignment horizontal="center" vertical="center"/>
    </xf>
    <xf numFmtId="0" fontId="11" fillId="0" borderId="7" xfId="0" applyFont="1" applyBorder="1" applyAlignment="1" applyProtection="1">
      <alignment horizontal="right" vertical="center"/>
    </xf>
    <xf numFmtId="0" fontId="11" fillId="0" borderId="8" xfId="0" applyFont="1" applyBorder="1" applyAlignment="1" applyProtection="1">
      <alignment horizontal="right" vertical="center"/>
    </xf>
    <xf numFmtId="164" fontId="5" fillId="0" borderId="8" xfId="0" applyNumberFormat="1" applyFont="1" applyBorder="1" applyAlignment="1" applyProtection="1">
      <alignment horizontal="center" vertical="center"/>
    </xf>
    <xf numFmtId="0" fontId="13" fillId="0" borderId="2" xfId="0" applyFont="1" applyBorder="1" applyAlignment="1" applyProtection="1">
      <alignment horizontal="center" vertical="center"/>
    </xf>
    <xf numFmtId="0" fontId="3" fillId="0" borderId="7" xfId="0" applyFont="1" applyBorder="1" applyAlignment="1" applyProtection="1">
      <alignment horizontal="right" vertical="center" wrapText="1"/>
    </xf>
    <xf numFmtId="164" fontId="5" fillId="3" borderId="7" xfId="0" applyNumberFormat="1" applyFont="1" applyFill="1" applyBorder="1" applyAlignment="1" applyProtection="1">
      <alignment horizontal="center" vertical="center" wrapText="1"/>
    </xf>
    <xf numFmtId="0" fontId="3" fillId="0" borderId="8" xfId="0" applyFont="1" applyBorder="1" applyAlignment="1" applyProtection="1">
      <alignment horizontal="right" vertical="center" wrapText="1"/>
    </xf>
    <xf numFmtId="164" fontId="5" fillId="3" borderId="8" xfId="0" applyNumberFormat="1" applyFont="1" applyFill="1" applyBorder="1" applyAlignment="1" applyProtection="1">
      <alignment horizontal="center" vertical="center" wrapText="1"/>
    </xf>
    <xf numFmtId="0" fontId="3" fillId="0" borderId="3" xfId="0" applyFont="1" applyBorder="1" applyAlignment="1" applyProtection="1">
      <alignment horizontal="right" vertical="center" wrapText="1"/>
    </xf>
    <xf numFmtId="164" fontId="5" fillId="3" borderId="3" xfId="0" applyNumberFormat="1" applyFont="1" applyFill="1" applyBorder="1" applyAlignment="1" applyProtection="1">
      <alignment horizontal="center" vertical="center" wrapText="1"/>
    </xf>
    <xf numFmtId="0" fontId="3" fillId="0" borderId="4" xfId="0" applyFont="1" applyBorder="1" applyAlignment="1" applyProtection="1">
      <alignment horizontal="right" vertical="center" wrapText="1"/>
    </xf>
    <xf numFmtId="164" fontId="5" fillId="3" borderId="4" xfId="0" applyNumberFormat="1" applyFont="1" applyFill="1" applyBorder="1" applyAlignment="1" applyProtection="1">
      <alignment horizontal="center" vertical="center" wrapText="1"/>
    </xf>
    <xf numFmtId="164" fontId="5" fillId="0" borderId="4" xfId="0" applyNumberFormat="1" applyFont="1" applyBorder="1" applyAlignment="1" applyProtection="1">
      <alignment horizontal="center" vertical="center" wrapText="1"/>
    </xf>
    <xf numFmtId="0" fontId="3" fillId="0" borderId="4" xfId="0" applyFont="1" applyBorder="1" applyAlignment="1" applyProtection="1">
      <alignment horizontal="right" vertical="center" wrapText="1"/>
    </xf>
    <xf numFmtId="0" fontId="3" fillId="0" borderId="7" xfId="0" applyFont="1" applyBorder="1" applyAlignment="1" applyProtection="1">
      <alignment horizontal="right" vertical="center" wrapText="1"/>
    </xf>
    <xf numFmtId="164" fontId="5" fillId="0" borderId="7" xfId="0" applyNumberFormat="1" applyFont="1" applyBorder="1" applyAlignment="1" applyProtection="1">
      <alignment horizontal="center" vertical="center" wrapText="1"/>
    </xf>
    <xf numFmtId="0" fontId="3" fillId="0" borderId="8" xfId="0" applyFont="1" applyBorder="1" applyAlignment="1" applyProtection="1">
      <alignment horizontal="right" vertical="center" wrapText="1"/>
    </xf>
    <xf numFmtId="164" fontId="5" fillId="0" borderId="8" xfId="0" applyNumberFormat="1" applyFont="1" applyBorder="1" applyAlignment="1" applyProtection="1">
      <alignment horizontal="center" vertical="center" wrapText="1"/>
    </xf>
    <xf numFmtId="0" fontId="3" fillId="0" borderId="5" xfId="0" applyFont="1" applyBorder="1" applyAlignment="1" applyProtection="1">
      <alignment horizontal="right" vertical="center" wrapText="1"/>
    </xf>
    <xf numFmtId="164" fontId="5" fillId="0" borderId="5" xfId="0" applyNumberFormat="1" applyFont="1" applyBorder="1" applyAlignment="1" applyProtection="1">
      <alignment horizontal="center" vertical="center" wrapText="1"/>
    </xf>
    <xf numFmtId="0" fontId="5" fillId="0" borderId="0" xfId="0" applyFont="1" applyAlignment="1" applyProtection="1">
      <alignment horizontal="center"/>
    </xf>
    <xf numFmtId="0" fontId="6" fillId="0" borderId="0" xfId="0" applyFont="1" applyAlignment="1" applyProtection="1">
      <alignment horizontal="center" vertical="center"/>
    </xf>
    <xf numFmtId="3" fontId="5" fillId="2" borderId="3" xfId="0" applyNumberFormat="1" applyFont="1" applyFill="1" applyBorder="1" applyAlignment="1" applyProtection="1">
      <alignment horizontal="center" vertical="center"/>
      <protection locked="0"/>
    </xf>
    <xf numFmtId="0" fontId="3" fillId="0" borderId="5" xfId="0" applyFont="1" applyBorder="1" applyAlignment="1" applyProtection="1">
      <alignment horizontal="right" vertical="center"/>
    </xf>
    <xf numFmtId="165" fontId="5" fillId="2" borderId="5" xfId="0" applyNumberFormat="1" applyFont="1" applyFill="1" applyBorder="1" applyAlignment="1" applyProtection="1">
      <alignment horizontal="center" vertical="center"/>
      <protection locked="0"/>
    </xf>
    <xf numFmtId="164" fontId="5" fillId="0" borderId="3" xfId="0" applyNumberFormat="1" applyFont="1" applyBorder="1" applyAlignment="1" applyProtection="1">
      <alignment horizontal="center" vertical="center"/>
    </xf>
    <xf numFmtId="164" fontId="5" fillId="0" borderId="4" xfId="0" applyNumberFormat="1" applyFont="1" applyBorder="1" applyAlignment="1" applyProtection="1">
      <alignment horizontal="center" vertical="center"/>
    </xf>
    <xf numFmtId="167" fontId="5" fillId="0" borderId="4" xfId="0" applyNumberFormat="1" applyFont="1" applyBorder="1" applyAlignment="1" applyProtection="1">
      <alignment horizontal="center" vertical="center"/>
    </xf>
    <xf numFmtId="0" fontId="11" fillId="0" borderId="4" xfId="0" applyFont="1" applyBorder="1" applyAlignment="1" applyProtection="1">
      <alignment horizontal="right" vertical="center"/>
    </xf>
    <xf numFmtId="164" fontId="5" fillId="3" borderId="4" xfId="0" applyNumberFormat="1" applyFont="1" applyFill="1" applyBorder="1" applyAlignment="1" applyProtection="1">
      <alignment horizontal="center" vertical="center"/>
    </xf>
    <xf numFmtId="0" fontId="11" fillId="0" borderId="5" xfId="0" applyFont="1" applyBorder="1" applyAlignment="1" applyProtection="1">
      <alignment horizontal="right" vertical="center"/>
    </xf>
    <xf numFmtId="164" fontId="5" fillId="3" borderId="5" xfId="0" applyNumberFormat="1" applyFont="1" applyFill="1" applyBorder="1" applyAlignment="1" applyProtection="1">
      <alignment horizontal="center" vertical="center"/>
    </xf>
    <xf numFmtId="164" fontId="15" fillId="0" borderId="4" xfId="0" applyNumberFormat="1" applyFont="1" applyBorder="1" applyAlignment="1" applyProtection="1">
      <alignment horizontal="center" vertical="center" wrapText="1"/>
    </xf>
    <xf numFmtId="0" fontId="3" fillId="0" borderId="5" xfId="0" applyFont="1" applyBorder="1" applyAlignment="1" applyProtection="1">
      <alignment horizontal="right" vertical="center" wrapText="1"/>
    </xf>
    <xf numFmtId="0" fontId="6" fillId="0" borderId="0" xfId="0" applyFont="1" applyAlignment="1" applyProtection="1">
      <alignment horizontal="right" vertical="center"/>
    </xf>
    <xf numFmtId="166" fontId="6" fillId="0" borderId="0" xfId="0" applyNumberFormat="1" applyFont="1" applyAlignment="1" applyProtection="1">
      <alignment horizontal="center" vertical="center"/>
    </xf>
    <xf numFmtId="0" fontId="3" fillId="0" borderId="3" xfId="0" applyFont="1" applyBorder="1" applyAlignment="1" applyProtection="1">
      <alignment horizontal="right" vertical="center"/>
    </xf>
    <xf numFmtId="164" fontId="5" fillId="0" borderId="3" xfId="0" applyNumberFormat="1" applyFont="1" applyBorder="1" applyAlignment="1" applyProtection="1">
      <alignment horizontal="center" vertical="center"/>
    </xf>
    <xf numFmtId="0" fontId="3" fillId="0" borderId="4" xfId="0" applyFont="1" applyBorder="1" applyAlignment="1" applyProtection="1">
      <alignment horizontal="right" vertical="center"/>
    </xf>
    <xf numFmtId="164" fontId="5" fillId="3" borderId="5" xfId="0" applyNumberFormat="1" applyFont="1" applyFill="1" applyBorder="1" applyAlignment="1" applyProtection="1">
      <alignment horizontal="center" vertical="center" wrapText="1"/>
    </xf>
    <xf numFmtId="0" fontId="6" fillId="0" borderId="0" xfId="0" applyFont="1" applyAlignment="1" applyProtection="1">
      <alignment vertical="center"/>
    </xf>
    <xf numFmtId="164" fontId="6" fillId="0" borderId="0" xfId="0" applyNumberFormat="1" applyFont="1" applyAlignment="1" applyProtection="1">
      <alignment vertical="center"/>
    </xf>
    <xf numFmtId="0" fontId="3" fillId="0" borderId="3" xfId="0" applyFont="1" applyBorder="1" applyAlignment="1">
      <alignment horizontal="right"/>
    </xf>
    <xf numFmtId="168" fontId="5" fillId="3" borderId="3" xfId="0" applyNumberFormat="1" applyFont="1" applyFill="1" applyBorder="1" applyAlignment="1">
      <alignment horizontal="center"/>
    </xf>
    <xf numFmtId="0" fontId="3" fillId="0" borderId="4" xfId="0" applyFont="1" applyBorder="1" applyAlignment="1">
      <alignment horizontal="right"/>
    </xf>
    <xf numFmtId="168" fontId="5" fillId="3" borderId="4" xfId="0" applyNumberFormat="1" applyFont="1" applyFill="1" applyBorder="1" applyAlignment="1">
      <alignment horizontal="center"/>
    </xf>
    <xf numFmtId="0" fontId="3" fillId="0" borderId="4" xfId="0" applyFont="1" applyBorder="1" applyAlignment="1">
      <alignment horizontal="right"/>
    </xf>
    <xf numFmtId="168" fontId="5" fillId="0" borderId="4" xfId="0" applyNumberFormat="1" applyFont="1" applyBorder="1" applyAlignment="1">
      <alignment horizontal="center"/>
    </xf>
    <xf numFmtId="0" fontId="3" fillId="0" borderId="5" xfId="0" applyFont="1" applyBorder="1" applyAlignment="1">
      <alignment horizontal="right"/>
    </xf>
    <xf numFmtId="168" fontId="5" fillId="0" borderId="5" xfId="0" applyNumberFormat="1" applyFont="1" applyBorder="1" applyAlignment="1">
      <alignment horizontal="center"/>
    </xf>
    <xf numFmtId="0" fontId="5" fillId="2" borderId="6"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xf>
    <xf numFmtId="168" fontId="5" fillId="2" borderId="7" xfId="0" applyNumberFormat="1"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168" fontId="3" fillId="0" borderId="6" xfId="0" applyNumberFormat="1" applyFont="1" applyBorder="1" applyAlignment="1">
      <alignment horizontal="center" vertical="center"/>
    </xf>
    <xf numFmtId="164" fontId="3" fillId="0" borderId="7" xfId="0" applyNumberFormat="1" applyFont="1" applyBorder="1" applyAlignment="1" applyProtection="1">
      <alignment horizontal="center" vertical="center" wrapText="1"/>
    </xf>
    <xf numFmtId="168" fontId="3" fillId="0" borderId="7" xfId="0" applyNumberFormat="1" applyFont="1" applyBorder="1" applyAlignment="1">
      <alignment horizontal="center" vertical="center"/>
    </xf>
    <xf numFmtId="1" fontId="3" fillId="0" borderId="7" xfId="0" applyNumberFormat="1" applyFont="1" applyBorder="1" applyAlignment="1">
      <alignment horizontal="center" vertical="center"/>
    </xf>
    <xf numFmtId="168" fontId="3" fillId="0" borderId="8" xfId="0" applyNumberFormat="1" applyFont="1" applyBorder="1" applyAlignment="1">
      <alignment horizontal="center" vertical="center"/>
    </xf>
    <xf numFmtId="168"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20" fillId="0" borderId="0" xfId="0" applyFont="1"/>
    <xf numFmtId="0" fontId="3" fillId="0" borderId="6" xfId="0" applyFont="1" applyBorder="1" applyAlignment="1">
      <alignment horizontal="center" vertical="center"/>
    </xf>
    <xf numFmtId="168" fontId="3" fillId="4" borderId="6" xfId="0" applyNumberFormat="1" applyFont="1" applyFill="1" applyBorder="1" applyAlignment="1">
      <alignment horizontal="center" vertical="center"/>
    </xf>
    <xf numFmtId="0" fontId="3" fillId="0" borderId="7" xfId="0" applyFont="1" applyBorder="1" applyAlignment="1">
      <alignment horizontal="center" vertical="center"/>
    </xf>
    <xf numFmtId="168" fontId="3" fillId="4" borderId="7" xfId="0" applyNumberFormat="1" applyFont="1" applyFill="1" applyBorder="1" applyAlignment="1">
      <alignment horizontal="center" vertical="center"/>
    </xf>
    <xf numFmtId="0" fontId="3" fillId="0" borderId="8" xfId="0" applyFont="1" applyBorder="1" applyAlignment="1">
      <alignment horizontal="center" vertical="center"/>
    </xf>
    <xf numFmtId="168" fontId="3" fillId="4" borderId="8" xfId="0" applyNumberFormat="1" applyFont="1" applyFill="1" applyBorder="1" applyAlignment="1">
      <alignment horizontal="center" vertical="center"/>
    </xf>
    <xf numFmtId="0" fontId="6" fillId="0" borderId="0" xfId="0" applyFont="1" applyAlignment="1">
      <alignment horizontal="center" vertical="center"/>
    </xf>
  </cellXfs>
  <cellStyles count="1">
    <cellStyle name="Normal" xfId="0" builtinId="0"/>
  </cellStyles>
  <dxfs count="0"/>
  <tableStyles count="0" defaultTableStyle="TableStyleMedium9" defaultPivotStyle="PivotStyleLight16"/>
  <colors>
    <indexedColors>
      <rgbColor rgb="FF000000"/>
      <rgbColor rgb="FFE6E6E6"/>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armerboy1967@yahoo.com" TargetMode="External"/><Relationship Id="rId2" Type="http://schemas.openxmlformats.org/officeDocument/2006/relationships/hyperlink" Target="http://www.fishermachine.com/" TargetMode="External"/><Relationship Id="rId1" Type="http://schemas.openxmlformats.org/officeDocument/2006/relationships/hyperlink" Target="http://books.google.com/" TargetMode="External"/></Relationships>
</file>

<file path=xl/worksheets/sheet1.xml><?xml version="1.0" encoding="utf-8"?>
<worksheet xmlns="http://schemas.openxmlformats.org/spreadsheetml/2006/main" xmlns:r="http://schemas.openxmlformats.org/officeDocument/2006/relationships">
  <dimension ref="A1:B74"/>
  <sheetViews>
    <sheetView tabSelected="1" zoomScaleNormal="100" workbookViewId="0">
      <selection activeCell="A25" sqref="A25"/>
    </sheetView>
  </sheetViews>
  <sheetFormatPr defaultRowHeight="12.75"/>
  <cols>
    <col min="1" max="1" width="91.28515625"/>
    <col min="2" max="1025" width="11.5703125"/>
  </cols>
  <sheetData>
    <row r="1" spans="1:2" ht="43.15" customHeight="1">
      <c r="A1" s="10" t="s">
        <v>0</v>
      </c>
      <c r="B1" s="11"/>
    </row>
    <row r="2" spans="1:2" ht="36">
      <c r="A2" s="12" t="s">
        <v>1</v>
      </c>
      <c r="B2" s="11"/>
    </row>
    <row r="3" spans="1:2" s="14" customFormat="1" ht="7.15" customHeight="1">
      <c r="A3" s="12"/>
      <c r="B3" s="13"/>
    </row>
    <row r="4" spans="1:2" ht="54">
      <c r="A4" s="15" t="s">
        <v>2</v>
      </c>
      <c r="B4" s="11"/>
    </row>
    <row r="5" spans="1:2" s="17" customFormat="1" ht="7.15" customHeight="1">
      <c r="A5" s="15"/>
      <c r="B5" s="16"/>
    </row>
    <row r="6" spans="1:2" ht="18">
      <c r="A6" s="18" t="s">
        <v>3</v>
      </c>
      <c r="B6" s="11"/>
    </row>
    <row r="7" spans="1:2" ht="18">
      <c r="A7" s="19" t="s">
        <v>4</v>
      </c>
      <c r="B7" s="20"/>
    </row>
    <row r="8" spans="1:2" ht="18">
      <c r="A8" s="21" t="s">
        <v>5</v>
      </c>
      <c r="B8" s="20"/>
    </row>
    <row r="9" spans="1:2" ht="18">
      <c r="A9" s="19" t="s">
        <v>6</v>
      </c>
      <c r="B9" s="20"/>
    </row>
    <row r="10" spans="1:2" ht="18">
      <c r="A10" s="21" t="s">
        <v>7</v>
      </c>
      <c r="B10" s="20"/>
    </row>
    <row r="11" spans="1:2" s="17" customFormat="1" ht="7.15" customHeight="1">
      <c r="A11" s="22"/>
      <c r="B11" s="23"/>
    </row>
    <row r="12" spans="1:2" s="17" customFormat="1" ht="144">
      <c r="A12" s="24" t="s">
        <v>8</v>
      </c>
      <c r="B12" s="23"/>
    </row>
    <row r="13" spans="1:2" s="17" customFormat="1" ht="7.15" customHeight="1">
      <c r="A13" s="15"/>
      <c r="B13" s="16"/>
    </row>
    <row r="14" spans="1:2" ht="18">
      <c r="A14" s="25" t="s">
        <v>9</v>
      </c>
      <c r="B14" s="11"/>
    </row>
    <row r="15" spans="1:2" ht="54">
      <c r="A15" s="26" t="s">
        <v>10</v>
      </c>
      <c r="B15" s="11"/>
    </row>
    <row r="16" spans="1:2" ht="36">
      <c r="A16" s="27" t="s">
        <v>11</v>
      </c>
    </row>
    <row r="17" spans="1:2" s="17" customFormat="1" ht="7.15" customHeight="1">
      <c r="A17" s="15"/>
      <c r="B17" s="28"/>
    </row>
    <row r="18" spans="1:2" ht="18">
      <c r="A18" s="25" t="s">
        <v>12</v>
      </c>
      <c r="B18" s="29"/>
    </row>
    <row r="19" spans="1:2" ht="36">
      <c r="A19" s="27" t="s">
        <v>11</v>
      </c>
      <c r="B19" s="29"/>
    </row>
    <row r="20" spans="1:2" s="17" customFormat="1" ht="7.15" customHeight="1">
      <c r="A20" s="15"/>
      <c r="B20" s="28"/>
    </row>
    <row r="21" spans="1:2" ht="18">
      <c r="A21" s="25" t="s">
        <v>13</v>
      </c>
    </row>
    <row r="22" spans="1:2" ht="18">
      <c r="A22" s="15" t="s">
        <v>14</v>
      </c>
    </row>
    <row r="23" spans="1:2" ht="18">
      <c r="A23" s="15"/>
    </row>
    <row r="24" spans="1:2" ht="18">
      <c r="A24" s="15"/>
    </row>
    <row r="25" spans="1:2" s="17" customFormat="1">
      <c r="A25" s="30" t="s">
        <v>15</v>
      </c>
    </row>
    <row r="26" spans="1:2" ht="43.35" customHeight="1">
      <c r="A26" s="31" t="s">
        <v>16</v>
      </c>
      <c r="B26" s="29"/>
    </row>
    <row r="27" spans="1:2" ht="114">
      <c r="A27" s="27" t="s">
        <v>17</v>
      </c>
      <c r="B27" s="29"/>
    </row>
    <row r="28" spans="1:2" ht="7.15" customHeight="1">
      <c r="A28" s="27"/>
      <c r="B28" s="29"/>
    </row>
    <row r="29" spans="1:2" ht="57">
      <c r="A29" s="27" t="s">
        <v>18</v>
      </c>
      <c r="B29" s="29"/>
    </row>
    <row r="30" spans="1:2" ht="7.15" customHeight="1">
      <c r="A30" s="27"/>
      <c r="B30" s="29"/>
    </row>
    <row r="31" spans="1:2" ht="57">
      <c r="A31" s="27" t="s">
        <v>19</v>
      </c>
      <c r="B31" s="29"/>
    </row>
    <row r="32" spans="1:2" ht="7.15" customHeight="1">
      <c r="A32" s="27"/>
      <c r="B32" s="29"/>
    </row>
    <row r="33" spans="1:2" ht="90">
      <c r="A33" s="27" t="s">
        <v>20</v>
      </c>
      <c r="B33" s="29"/>
    </row>
    <row r="34" spans="1:2" ht="7.15" customHeight="1">
      <c r="A34" s="27"/>
      <c r="B34" s="29"/>
    </row>
    <row r="35" spans="1:2" ht="54">
      <c r="A35" s="27" t="s">
        <v>21</v>
      </c>
      <c r="B35" s="29"/>
    </row>
    <row r="36" spans="1:2" ht="7.15" customHeight="1">
      <c r="A36" s="32"/>
    </row>
    <row r="37" spans="1:2" ht="90">
      <c r="A37" s="15" t="s">
        <v>22</v>
      </c>
      <c r="B37" s="11"/>
    </row>
    <row r="38" spans="1:2" ht="7.15" customHeight="1">
      <c r="A38" s="15"/>
      <c r="B38" s="11"/>
    </row>
    <row r="39" spans="1:2" ht="36">
      <c r="A39" s="15" t="s">
        <v>23</v>
      </c>
      <c r="B39" s="11"/>
    </row>
    <row r="40" spans="1:2" ht="7.15" customHeight="1">
      <c r="A40" s="15"/>
      <c r="B40" s="11"/>
    </row>
    <row r="41" spans="1:2" ht="54">
      <c r="A41" s="15" t="s">
        <v>24</v>
      </c>
      <c r="B41" s="11"/>
    </row>
    <row r="42" spans="1:2" ht="12.95" customHeight="1">
      <c r="A42" s="33" t="str">
        <f>A25</f>
        <v>20170618</v>
      </c>
    </row>
    <row r="43" spans="1:2" ht="7.5" customHeight="1">
      <c r="A43" s="26"/>
    </row>
    <row r="44" spans="1:2" ht="43.35" customHeight="1">
      <c r="A44" s="34" t="s">
        <v>25</v>
      </c>
    </row>
    <row r="45" spans="1:2">
      <c r="A45" s="35"/>
    </row>
    <row r="46" spans="1:2" s="37" customFormat="1" ht="18">
      <c r="A46" s="36" t="s">
        <v>26</v>
      </c>
    </row>
    <row r="47" spans="1:2" s="37" customFormat="1" ht="7.5" customHeight="1">
      <c r="A47" s="36"/>
    </row>
    <row r="48" spans="1:2" s="37" customFormat="1" ht="36">
      <c r="A48" s="38" t="s">
        <v>27</v>
      </c>
    </row>
    <row r="49" spans="1:1" s="37" customFormat="1" ht="7.5" customHeight="1">
      <c r="A49" s="38"/>
    </row>
    <row r="50" spans="1:1" s="37" customFormat="1" ht="18">
      <c r="A50" s="38" t="s">
        <v>28</v>
      </c>
    </row>
    <row r="51" spans="1:1" s="37" customFormat="1" ht="7.5" customHeight="1">
      <c r="A51" s="38"/>
    </row>
    <row r="52" spans="1:1" s="37" customFormat="1" ht="36">
      <c r="A52" s="38" t="s">
        <v>29</v>
      </c>
    </row>
    <row r="53" spans="1:1" s="37" customFormat="1" ht="7.5" customHeight="1">
      <c r="A53" s="38"/>
    </row>
    <row r="54" spans="1:1" s="37" customFormat="1" ht="54">
      <c r="A54" s="38" t="s">
        <v>30</v>
      </c>
    </row>
    <row r="55" spans="1:1" s="37" customFormat="1" ht="7.5" customHeight="1">
      <c r="A55" s="38"/>
    </row>
    <row r="56" spans="1:1" s="37" customFormat="1" ht="36">
      <c r="A56" s="38" t="s">
        <v>31</v>
      </c>
    </row>
    <row r="57" spans="1:1" s="37" customFormat="1" ht="7.5" customHeight="1">
      <c r="A57" s="38"/>
    </row>
    <row r="58" spans="1:1" s="37" customFormat="1" ht="36">
      <c r="A58" s="38" t="s">
        <v>32</v>
      </c>
    </row>
    <row r="59" spans="1:1" s="37" customFormat="1" ht="7.5" customHeight="1">
      <c r="A59" s="38"/>
    </row>
    <row r="60" spans="1:1" s="37" customFormat="1" ht="18">
      <c r="A60" s="38" t="s">
        <v>33</v>
      </c>
    </row>
    <row r="61" spans="1:1" s="37" customFormat="1" ht="7.5" customHeight="1">
      <c r="A61" s="38"/>
    </row>
    <row r="62" spans="1:1" s="37" customFormat="1" ht="54">
      <c r="A62" s="38" t="s">
        <v>34</v>
      </c>
    </row>
    <row r="63" spans="1:1" s="37" customFormat="1" ht="7.5" customHeight="1">
      <c r="A63" s="38"/>
    </row>
    <row r="64" spans="1:1" s="37" customFormat="1" ht="36">
      <c r="A64" s="38" t="s">
        <v>35</v>
      </c>
    </row>
    <row r="65" spans="1:1" s="37" customFormat="1" ht="18">
      <c r="A65" s="38" t="s">
        <v>36</v>
      </c>
    </row>
    <row r="66" spans="1:1" s="37" customFormat="1" ht="7.5" customHeight="1">
      <c r="A66" s="38"/>
    </row>
    <row r="67" spans="1:1" s="37" customFormat="1" ht="36">
      <c r="A67" s="38" t="s">
        <v>37</v>
      </c>
    </row>
    <row r="68" spans="1:1" s="37" customFormat="1" ht="18">
      <c r="A68" s="38"/>
    </row>
    <row r="69" spans="1:1" s="37" customFormat="1" ht="18">
      <c r="A69" s="38"/>
    </row>
    <row r="70" spans="1:1" s="37" customFormat="1" ht="18">
      <c r="A70" s="38"/>
    </row>
    <row r="71" spans="1:1" s="37" customFormat="1" ht="18">
      <c r="A71" s="38"/>
    </row>
    <row r="72" spans="1:1" ht="17.100000000000001" customHeight="1"/>
    <row r="74" spans="1:1" ht="12.95" customHeight="1">
      <c r="A74" s="33" t="str">
        <f>A25</f>
        <v>20170618</v>
      </c>
    </row>
  </sheetData>
  <sheetProtection sheet="1" objects="1" scenarios="1"/>
  <hyperlinks>
    <hyperlink ref="A27" r:id="rId1" display="http://books.google.com"/>
    <hyperlink ref="A29" r:id="rId2" display="http://www.fishermachine.com/"/>
    <hyperlink ref="A39" r:id="rId3" display="farmerboy1967@yahoo.com"/>
  </hyperlinks>
  <pageMargins left="0.78749999999999998" right="0.78749999999999998" top="1.0263888888888899" bottom="1.0263888888888899" header="0.78749999999999998" footer="0.78749999999999998"/>
  <pageSetup paperSize="0" scale="0" orientation="portrait" usePrinterDefaults="0" useFirstPageNumber="1" horizontalDpi="0" verticalDpi="0" copies="0"/>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dimension ref="A1:AMJ1048576"/>
  <sheetViews>
    <sheetView workbookViewId="0"/>
  </sheetViews>
  <sheetFormatPr defaultRowHeight="15"/>
  <sheetData>
    <row r="1" spans="1:1024" ht="40.5">
      <c r="A1" s="39" t="s">
        <v>38</v>
      </c>
      <c r="B1" s="39"/>
      <c r="C1" s="40"/>
      <c r="D1" s="41"/>
      <c r="AMI1" s="41"/>
      <c r="AMJ1" s="41"/>
    </row>
    <row r="2" spans="1:1024" ht="18">
      <c r="A2" s="42" t="s">
        <v>39</v>
      </c>
      <c r="B2" s="43">
        <v>0.25</v>
      </c>
      <c r="AMJ2" s="41"/>
    </row>
    <row r="3" spans="1:1024" ht="18">
      <c r="A3" s="44" t="s">
        <v>40</v>
      </c>
      <c r="B3" s="45">
        <v>20</v>
      </c>
      <c r="AMJ3" s="41"/>
    </row>
    <row r="4" spans="1:1024" ht="18">
      <c r="A4" s="46" t="s">
        <v>41</v>
      </c>
      <c r="B4" s="47" t="s">
        <v>42</v>
      </c>
      <c r="AMJ4" s="41"/>
    </row>
    <row r="5" spans="1:1024" ht="12.75"/>
    <row r="6" spans="1:1024" ht="33.75">
      <c r="A6" s="39" t="s">
        <v>43</v>
      </c>
      <c r="B6" s="39"/>
    </row>
    <row r="7" spans="1:1024" ht="18">
      <c r="A7" s="48" t="s">
        <v>44</v>
      </c>
      <c r="B7" s="49">
        <f>SUM(1/B3)</f>
        <v>0.05</v>
      </c>
    </row>
    <row r="8" spans="1:1024" ht="18">
      <c r="A8" s="50" t="s">
        <v>45</v>
      </c>
      <c r="B8" s="51">
        <f>SUM(0.8660254*B7)</f>
        <v>4.3301270000000003E-2</v>
      </c>
    </row>
    <row r="9" spans="1:1024" ht="18">
      <c r="A9" s="50" t="s">
        <v>46</v>
      </c>
      <c r="B9" s="52">
        <f>IF(SUM((0.05*((B7^2)^(1/3))+(0.03*(B7/B2)))-0.002)&lt;SUM((0.25*B7)-(0.4*(B7^2))),SUM((0.25*B7)-(0.4*(B7^2))),IF(SUM((0.05*((B7^2)^(1/3))+(0.03*(B7/B2)))-0.002)&gt;SUM(0.394*B7),SUM(0.394*B7),SUM((0.05*((B7^2)^(1/3))+(0.03*(B7/B2)))-0.002)))</f>
        <v>1.15E-2</v>
      </c>
    </row>
    <row r="10" spans="1:1024" ht="18">
      <c r="A10" s="50" t="s">
        <v>47</v>
      </c>
      <c r="B10" s="52">
        <f>IF(OR(B4="UNEF",B4="unef"),SUM((0.0015*(B2^(1/3)))+(0.0015*SQRT(9/B3))+(0.015*((B7^2)^(1/3)))),IF(OR(B4="UN",B4="un"),IF(B3&lt;10,SUM((0.0015*(B2^(1/3)))+(0.0015*SQRT(B2))+(0.015*((B7^2)^(1/3)))),SUM((0.0015*(B2^(1/3)))+(0.0015*SQRT(9/B3))+(0.015*((B7^2)^(1/3))))),IF(OR(B4="UNC",B4="unc"),SUM((0.0015*(B2^(1/3)))+(0.0015*SQRT(B2))+(0.015*((B7^2)^(1/3)))),IF(OR(B4="UNF",B4="unf"),SUM((0.0015*(B2^(1/3)))+(0.0015*SQRT(B2))+(0.015*((B7^2)^(1/3))))))))</f>
        <v>3.730753999867335E-3</v>
      </c>
    </row>
    <row r="11" spans="1:1024" ht="18">
      <c r="A11" s="53" t="s">
        <v>48</v>
      </c>
      <c r="B11" s="51">
        <f>SUM(B7/4)</f>
        <v>1.2500000000000001E-2</v>
      </c>
    </row>
    <row r="12" spans="1:1024" ht="18">
      <c r="A12" s="54" t="s">
        <v>49</v>
      </c>
      <c r="B12" s="55">
        <f>SUM(B7/8)</f>
        <v>6.2500000000000003E-3</v>
      </c>
    </row>
    <row r="13" spans="1:1024" ht="12.75"/>
    <row r="14" spans="1:1024" ht="30">
      <c r="A14" s="56" t="s">
        <v>50</v>
      </c>
      <c r="B14" s="56"/>
    </row>
    <row r="15" spans="1:1024" ht="108">
      <c r="A15" s="57" t="s">
        <v>51</v>
      </c>
      <c r="B15" s="58">
        <f>SUM(0.54127*B7)</f>
        <v>2.7063500000000004E-2</v>
      </c>
    </row>
    <row r="16" spans="1:1024" ht="108">
      <c r="A16" s="57" t="s">
        <v>52</v>
      </c>
      <c r="B16" s="58">
        <f>SUM(B15/COS(RADIANS(29.5)))</f>
        <v>3.1094758299678903E-2</v>
      </c>
    </row>
    <row r="17" spans="1:1024" ht="126">
      <c r="A17" s="59" t="s">
        <v>53</v>
      </c>
      <c r="B17" s="60">
        <f>SUM(B15*2)</f>
        <v>5.4127000000000008E-2</v>
      </c>
    </row>
    <row r="18" spans="1:1024" ht="12.75"/>
    <row r="19" spans="1:1024" ht="33.75">
      <c r="A19" s="39" t="s">
        <v>54</v>
      </c>
      <c r="B19" s="39"/>
    </row>
    <row r="20" spans="1:1024" ht="126">
      <c r="A20" s="61" t="s">
        <v>55</v>
      </c>
      <c r="B20" s="62">
        <f>SUM(B2-(0.3*B10))</f>
        <v>0.24888077380003981</v>
      </c>
    </row>
    <row r="21" spans="1:1024" ht="126">
      <c r="A21" s="63" t="s">
        <v>56</v>
      </c>
      <c r="B21" s="64">
        <f>SUM(B20-(0.06*((B7^2)^(1/3))))</f>
        <v>0.24073752095025508</v>
      </c>
    </row>
    <row r="22" spans="1:1024" ht="126">
      <c r="A22" s="63" t="s">
        <v>57</v>
      </c>
      <c r="B22" s="65">
        <f>SUM((B20)-(B17))</f>
        <v>0.1947537738000398</v>
      </c>
    </row>
    <row r="23" spans="1:1024" ht="90">
      <c r="A23" s="63" t="s">
        <v>58</v>
      </c>
      <c r="B23" s="65">
        <f>SUM(B2-((0.32475953*B7)*2))</f>
        <v>0.217524047</v>
      </c>
    </row>
    <row r="24" spans="1:1024" ht="126">
      <c r="A24" s="66" t="s">
        <v>59</v>
      </c>
      <c r="B24" s="65">
        <f>SUM(B20-((0.32475953*B7)*2))</f>
        <v>0.21640482080003981</v>
      </c>
    </row>
    <row r="25" spans="1:1024" ht="126">
      <c r="A25" s="66" t="s">
        <v>60</v>
      </c>
      <c r="B25" s="65">
        <f>SUM(B24-B10)</f>
        <v>0.21267406680017248</v>
      </c>
    </row>
    <row r="26" spans="1:1024" ht="72">
      <c r="A26" s="67" t="s">
        <v>61</v>
      </c>
      <c r="B26" s="65">
        <f>SUM((0.5*B7)/COS(RADIANS(30)))</f>
        <v>2.8867513459481287E-2</v>
      </c>
    </row>
    <row r="27" spans="1:1024" ht="108">
      <c r="A27" s="67" t="s">
        <v>62</v>
      </c>
      <c r="B27" s="68">
        <f>IF(B3&lt;49,IF(B26&lt;0.018,0.018,IF(B26&lt;0.02401,0.024,IF(B26&lt;0.03,0.029,IF(B26&lt;0.033,0.032,IF(B26&lt;0.0415,0.04,IF(B26&lt;0.046,0.045,IF(B26&lt;0.058,0.055,IF(B26&lt;0.065,0.063,IF(B26&lt;0.073,0.072,IF(B26&lt;0.083,0.081,IF(B26&lt;0.097,0.092,IF(B26&lt;0.11,0.108,IF(B26&lt;0.122,0.12,IF(B26&lt;0.129,0.127,IF(B26&lt;0.145,0.143,IF(B26&lt;0.195,0.185)))))))))))))))),n/a)</f>
        <v>2.9000000000000001E-2</v>
      </c>
    </row>
    <row r="28" spans="1:1024" ht="198">
      <c r="A28" s="67" t="s">
        <v>63</v>
      </c>
      <c r="B28" s="68">
        <f>SUM(B24-(0.866025*B7)+(B27*3))</f>
        <v>0.26010357080003982</v>
      </c>
    </row>
    <row r="29" spans="1:1024" ht="198">
      <c r="A29" s="69" t="s">
        <v>64</v>
      </c>
      <c r="B29" s="70">
        <f>SUM(B25-(0.866025*B7)+(B27*3))</f>
        <v>0.25637281680017249</v>
      </c>
    </row>
    <row r="30" spans="1:1024" ht="12.75"/>
    <row r="31" spans="1:1024" ht="33.75">
      <c r="A31" s="39" t="s">
        <v>65</v>
      </c>
      <c r="B31" s="39"/>
    </row>
    <row r="32" spans="1:1024" ht="126">
      <c r="A32" s="61" t="s">
        <v>66</v>
      </c>
      <c r="B32" s="62">
        <f>SUM(B2-(B17))</f>
        <v>0.19587299999999999</v>
      </c>
      <c r="AMJ32" s="41"/>
    </row>
    <row r="33" spans="1:1024" ht="126">
      <c r="A33" s="63" t="s">
        <v>67</v>
      </c>
      <c r="B33" s="64">
        <f>SUM(B32+B9)</f>
        <v>0.207373</v>
      </c>
      <c r="AMJ33" s="41"/>
    </row>
    <row r="34" spans="1:1024" ht="126">
      <c r="A34" s="63" t="s">
        <v>68</v>
      </c>
      <c r="B34" s="65">
        <f>SUM(B2-((0.32475953*B7)*2))</f>
        <v>0.217524047</v>
      </c>
      <c r="AMJ34" s="41"/>
    </row>
    <row r="35" spans="1:1024" ht="90">
      <c r="A35" s="63" t="s">
        <v>69</v>
      </c>
      <c r="B35" s="65">
        <f>SUM((B34+B36)/2)</f>
        <v>0.21994903709991376</v>
      </c>
      <c r="AMJ35" s="41"/>
    </row>
    <row r="36" spans="1:1024" ht="126">
      <c r="A36" s="63" t="s">
        <v>70</v>
      </c>
      <c r="B36" s="65">
        <f>SUM(B34+(1.3*B10))</f>
        <v>0.22237402719982755</v>
      </c>
      <c r="AMJ36" s="41"/>
    </row>
    <row r="37" spans="1:1024" ht="126">
      <c r="A37" s="71" t="s">
        <v>71</v>
      </c>
      <c r="B37" s="72">
        <f>SUM(B2)</f>
        <v>0.25</v>
      </c>
      <c r="AMJ37" s="41"/>
    </row>
    <row r="38" spans="1:1024" ht="18">
      <c r="A38" s="73" t="s">
        <v>72</v>
      </c>
      <c r="B38" s="74" t="str">
        <f>ReadMe!A25</f>
        <v>20170618</v>
      </c>
    </row>
    <row r="39" spans="1:1024" ht="12.75"/>
    <row r="40" spans="1:1024" ht="12.75"/>
    <row r="41" spans="1:1024" ht="12.75"/>
    <row r="42" spans="1:1024" ht="12.75"/>
    <row r="43" spans="1:1024" ht="12.75"/>
    <row r="44" spans="1:1024" ht="12.75"/>
    <row r="45" spans="1:1024" ht="12.75"/>
    <row r="46" spans="1:1024" ht="12.75"/>
    <row r="47" spans="1:1024" ht="12.75"/>
    <row r="48" spans="1:1024" ht="12.75"/>
    <row r="49" ht="12.75"/>
    <row r="50" ht="12.75"/>
    <row r="51" ht="12.75"/>
    <row r="52" ht="12.75"/>
    <row r="53" ht="12.75"/>
    <row r="1048565" ht="12.75"/>
    <row r="1048566" ht="12.75"/>
    <row r="1048567" ht="12.75"/>
    <row r="1048568" ht="12.75"/>
    <row r="1048569" ht="12.75"/>
    <row r="1048570" ht="12.75"/>
    <row r="1048571" ht="12.75"/>
    <row r="1048572" ht="12.75"/>
    <row r="1048573" ht="12.75"/>
    <row r="1048574" ht="12.75"/>
    <row r="1048575" ht="12.75"/>
    <row r="1048576" 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MJ37"/>
  <sheetViews>
    <sheetView workbookViewId="0"/>
  </sheetViews>
  <sheetFormatPr defaultRowHeight="15"/>
  <sheetData>
    <row r="1" spans="1:1024" ht="33.75">
      <c r="A1" s="39" t="s">
        <v>73</v>
      </c>
      <c r="B1" s="39"/>
    </row>
    <row r="2" spans="1:1024" ht="18">
      <c r="A2" s="42" t="s">
        <v>74</v>
      </c>
      <c r="B2" s="75">
        <v>10</v>
      </c>
    </row>
    <row r="3" spans="1:1024" ht="18">
      <c r="A3" s="76" t="s">
        <v>40</v>
      </c>
      <c r="B3" s="77">
        <v>32</v>
      </c>
    </row>
    <row r="4" spans="1:1024" ht="12.75"/>
    <row r="5" spans="1:1024" ht="33.75">
      <c r="A5" s="39" t="s">
        <v>43</v>
      </c>
      <c r="B5" s="39"/>
    </row>
    <row r="6" spans="1:1024" ht="18">
      <c r="A6" s="42" t="s">
        <v>39</v>
      </c>
      <c r="B6" s="78">
        <f>SUM((B2*0.013)+0.06)</f>
        <v>0.19</v>
      </c>
    </row>
    <row r="7" spans="1:1024" ht="18">
      <c r="A7" s="44" t="s">
        <v>44</v>
      </c>
      <c r="B7" s="79">
        <f>SUM(1/B3)</f>
        <v>3.125E-2</v>
      </c>
    </row>
    <row r="8" spans="1:1024" ht="18">
      <c r="A8" s="44" t="s">
        <v>45</v>
      </c>
      <c r="B8" s="79">
        <f>SUM(0.8660254*B7)</f>
        <v>2.7063293749999998E-2</v>
      </c>
    </row>
    <row r="9" spans="1:1024" ht="18">
      <c r="A9" s="44" t="s">
        <v>46</v>
      </c>
      <c r="B9" s="80">
        <f>IF(SUM((0.05*((B7^2)^0.333)+(0.03*(B7/B6)))-0.002)&lt;SUM((0.25*B7)-(0.4*(B7^2))),SUM((0.25*B7)-(0.4*(B7^2))),IF(SUM((0.05*((B7^2)^0.333)+(0.03*(B7/B6)))-0.002)&gt;SUM(0.394*B7),SUM(0.394*B7),SUM((0.05*((B7^2)^0.333)+(0.03*(B7/B6)))-0.002)))</f>
        <v>7.9063135497840307E-3</v>
      </c>
    </row>
    <row r="10" spans="1:1024" ht="18">
      <c r="A10" s="44" t="s">
        <v>47</v>
      </c>
      <c r="B10" s="80">
        <f>SUM((0.0015*(B6^0.333))+(0.0015*SQRT(B6))+(0.015*((B7^2)^0.333)))</f>
        <v>3.0082778112070392E-3</v>
      </c>
    </row>
    <row r="11" spans="1:1024" ht="108">
      <c r="A11" s="63" t="s">
        <v>75</v>
      </c>
      <c r="B11" s="65">
        <f>SUM(0.54127*B7)</f>
        <v>1.6914687500000001E-2</v>
      </c>
    </row>
    <row r="12" spans="1:1024" ht="144">
      <c r="A12" s="63" t="s">
        <v>76</v>
      </c>
      <c r="B12" s="65">
        <f>SUM(B11*2)</f>
        <v>3.3829375000000002E-2</v>
      </c>
    </row>
    <row r="13" spans="1:1024" ht="180">
      <c r="A13" s="63" t="s">
        <v>77</v>
      </c>
      <c r="B13" s="64">
        <f>SUM(B11/COS(RADIANS(29.5)))</f>
        <v>1.9434223937299312E-2</v>
      </c>
    </row>
    <row r="14" spans="1:1024" ht="198">
      <c r="A14" s="63" t="s">
        <v>78</v>
      </c>
      <c r="B14" s="64">
        <f>SUM(B12/COS(RADIANS(29.5)))</f>
        <v>3.8868447874598623E-2</v>
      </c>
    </row>
    <row r="15" spans="1:1024" ht="18">
      <c r="A15" s="81" t="s">
        <v>48</v>
      </c>
      <c r="B15" s="82">
        <f>SUM(B7/4)</f>
        <v>7.8125E-3</v>
      </c>
      <c r="AMJ15" s="41"/>
    </row>
    <row r="16" spans="1:1024" ht="18">
      <c r="A16" s="83" t="s">
        <v>49</v>
      </c>
      <c r="B16" s="84">
        <f>SUM(B7/8)</f>
        <v>3.90625E-3</v>
      </c>
    </row>
    <row r="17" spans="1:2" ht="12.75"/>
    <row r="18" spans="1:2" ht="33.75">
      <c r="A18" s="39" t="s">
        <v>54</v>
      </c>
      <c r="B18" s="39"/>
    </row>
    <row r="19" spans="1:2" ht="126">
      <c r="A19" s="61" t="s">
        <v>55</v>
      </c>
      <c r="B19" s="62">
        <f>SUM(((B6-(0.3*B10))))</f>
        <v>0.1890975166566379</v>
      </c>
    </row>
    <row r="20" spans="1:2" ht="126">
      <c r="A20" s="63" t="s">
        <v>56</v>
      </c>
      <c r="B20" s="64">
        <f>SUM(B19-(0.06*((B7^2)^0.333)))</f>
        <v>0.18313099302847602</v>
      </c>
    </row>
    <row r="21" spans="1:2" ht="126">
      <c r="A21" s="63" t="s">
        <v>57</v>
      </c>
      <c r="B21" s="65">
        <f>SUM((B19)-(B12))</f>
        <v>0.15526814165663791</v>
      </c>
    </row>
    <row r="22" spans="1:2" ht="90">
      <c r="A22" s="63" t="s">
        <v>58</v>
      </c>
      <c r="B22" s="65">
        <f>SUM(((B2*0.013)+0.06)-((0.32475953*B7)*2))</f>
        <v>0.16970252937499999</v>
      </c>
    </row>
    <row r="23" spans="1:2" ht="126">
      <c r="A23" s="66" t="s">
        <v>59</v>
      </c>
      <c r="B23" s="65">
        <f>SUM(B19-((0.32475953*B7)*2))</f>
        <v>0.1688000460316379</v>
      </c>
    </row>
    <row r="24" spans="1:2" ht="126">
      <c r="A24" s="66" t="s">
        <v>60</v>
      </c>
      <c r="B24" s="65">
        <f>SUM(B23-B10)</f>
        <v>0.16579176822043085</v>
      </c>
    </row>
    <row r="25" spans="1:2" ht="72">
      <c r="A25" s="66" t="s">
        <v>61</v>
      </c>
      <c r="B25" s="85">
        <f>SUM((0.5*B7)/COS(RADIANS(30)))</f>
        <v>1.8042195912175804E-2</v>
      </c>
    </row>
    <row r="26" spans="1:2" ht="108">
      <c r="A26" s="66" t="s">
        <v>62</v>
      </c>
      <c r="B26" s="65">
        <f>IF(B3&lt;49,IF(B25&lt;0.019,0.018,IF(B25&lt;0.025,0.024,IF(B25&lt;0.03,0.029,IF(B25&lt;0.033,0.032,IF(B25&lt;0.041,0.04,IF(B25&lt;0.046,0.045,IF(B25&lt;0.056,0.055,IF(B25&lt;0.064,0.063,IF(B25&lt;0.073,0.072,IF(B25&lt;0.082,0.081,IF(B25&lt;0.093,0.092,IF(B25&lt;0.109,0.108,IF(B25&lt;0.121,0.12,IF(B25&lt;0.128,0.127,IF(B25&lt;0.144,0.143,IF(B25&lt;0.186,0.185)))))))))))))))),n/a)</f>
        <v>1.7999999999999999E-2</v>
      </c>
    </row>
    <row r="27" spans="1:2" ht="198">
      <c r="A27" s="66" t="s">
        <v>63</v>
      </c>
      <c r="B27" s="65">
        <f>SUM(B23-(0.866025*B7)+(B26*3))</f>
        <v>0.19573676478163787</v>
      </c>
    </row>
    <row r="28" spans="1:2" ht="198">
      <c r="A28" s="86" t="s">
        <v>64</v>
      </c>
      <c r="B28" s="72">
        <f>SUM(B24-(0.866025*B7)+(B26*3))</f>
        <v>0.19272848697043082</v>
      </c>
    </row>
    <row r="29" spans="1:2" ht="12.75"/>
    <row r="30" spans="1:2" ht="33.75">
      <c r="A30" s="39" t="s">
        <v>65</v>
      </c>
      <c r="B30" s="39"/>
    </row>
    <row r="31" spans="1:2" ht="126">
      <c r="A31" s="61" t="s">
        <v>66</v>
      </c>
      <c r="B31" s="62">
        <f>SUM(((B6-(B12))))</f>
        <v>0.15617062500000001</v>
      </c>
    </row>
    <row r="32" spans="1:2" ht="126">
      <c r="A32" s="63" t="s">
        <v>67</v>
      </c>
      <c r="B32" s="64">
        <f>SUM(B31+B9)</f>
        <v>0.16407693854978403</v>
      </c>
    </row>
    <row r="33" spans="1:2" ht="126">
      <c r="A33" s="63" t="s">
        <v>68</v>
      </c>
      <c r="B33" s="65">
        <f>SUM(((B6-((0.32475953*B7)*2))))</f>
        <v>0.16970252937499999</v>
      </c>
    </row>
    <row r="34" spans="1:2" ht="90">
      <c r="A34" s="63" t="s">
        <v>69</v>
      </c>
      <c r="B34" s="65">
        <f>SUM((B33+B6)/2)</f>
        <v>0.17985126468750001</v>
      </c>
    </row>
    <row r="35" spans="1:2" ht="126">
      <c r="A35" s="63" t="s">
        <v>70</v>
      </c>
      <c r="B35" s="65">
        <f>SUM(B33+(1.3*B10))</f>
        <v>0.17361329052956914</v>
      </c>
    </row>
    <row r="36" spans="1:2" ht="126">
      <c r="A36" s="71" t="s">
        <v>71</v>
      </c>
      <c r="B36" s="72">
        <f>SUM((B6))</f>
        <v>0.19</v>
      </c>
    </row>
    <row r="37" spans="1:2" ht="18">
      <c r="A37" s="73" t="s">
        <v>72</v>
      </c>
      <c r="B37" s="74" t="str">
        <f>ReadMe!A25</f>
        <v>20170618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37"/>
  <sheetViews>
    <sheetView zoomScaleNormal="100" workbookViewId="0">
      <selection activeCell="B37" sqref="B37"/>
    </sheetView>
  </sheetViews>
  <sheetFormatPr defaultRowHeight="12.75"/>
  <cols>
    <col min="1" max="1" width="76.42578125"/>
    <col min="2" max="2" width="13"/>
    <col min="3" max="1025" width="11.5703125"/>
  </cols>
  <sheetData>
    <row r="1" spans="1:2" ht="25.9" customHeight="1">
      <c r="A1" s="9" t="s">
        <v>79</v>
      </c>
      <c r="B1" s="9"/>
    </row>
    <row r="2" spans="1:2" ht="17.25" customHeight="1">
      <c r="A2" s="42" t="s">
        <v>80</v>
      </c>
      <c r="B2" s="43">
        <v>0.25</v>
      </c>
    </row>
    <row r="3" spans="1:2" ht="17.25" customHeight="1">
      <c r="A3" s="76" t="s">
        <v>40</v>
      </c>
      <c r="B3" s="77">
        <v>20</v>
      </c>
    </row>
    <row r="4" spans="1:2" ht="7.15" customHeight="1">
      <c r="A4" s="87"/>
      <c r="B4" s="88"/>
    </row>
    <row r="5" spans="1:2" ht="25.9" customHeight="1">
      <c r="A5" s="8" t="s">
        <v>43</v>
      </c>
      <c r="B5" s="8"/>
    </row>
    <row r="6" spans="1:2" ht="16.5" customHeight="1">
      <c r="A6" s="89" t="s">
        <v>44</v>
      </c>
      <c r="B6" s="90">
        <f>SUM(1/B3)</f>
        <v>0.05</v>
      </c>
    </row>
    <row r="7" spans="1:2" ht="16.5" customHeight="1">
      <c r="A7" s="91" t="s">
        <v>45</v>
      </c>
      <c r="B7" s="79">
        <f>SUM(0.8660254*B6)</f>
        <v>4.3301270000000003E-2</v>
      </c>
    </row>
    <row r="8" spans="1:2" ht="16.5" customHeight="1">
      <c r="A8" s="63" t="s">
        <v>81</v>
      </c>
      <c r="B8" s="65">
        <f>SUM(0.649519*B6)</f>
        <v>3.2475949999999996E-2</v>
      </c>
    </row>
    <row r="9" spans="1:2" ht="16.5" customHeight="1">
      <c r="A9" s="91" t="s">
        <v>53</v>
      </c>
      <c r="B9" s="79">
        <f>SUM(B8*2)</f>
        <v>6.4951899999999993E-2</v>
      </c>
    </row>
    <row r="10" spans="1:2" ht="16.5" customHeight="1">
      <c r="A10" s="63" t="s">
        <v>77</v>
      </c>
      <c r="B10" s="64">
        <f>SUM(B8/COS(RADIANS(29.5)))</f>
        <v>3.7313422720729281E-2</v>
      </c>
    </row>
    <row r="11" spans="1:2" ht="16.5" customHeight="1">
      <c r="A11" s="63" t="s">
        <v>78</v>
      </c>
      <c r="B11" s="64">
        <f>SUM(B9/COS(RADIANS(29.5)))</f>
        <v>7.4626845441458561E-2</v>
      </c>
    </row>
    <row r="12" spans="1:2" ht="16.5" customHeight="1">
      <c r="A12" s="71" t="s">
        <v>82</v>
      </c>
      <c r="B12" s="92">
        <f>SUM(B6/8)</f>
        <v>6.2500000000000003E-3</v>
      </c>
    </row>
    <row r="13" spans="1:2" ht="7.15" customHeight="1">
      <c r="A13" s="93"/>
      <c r="B13" s="94"/>
    </row>
    <row r="14" spans="1:2" ht="25.9" customHeight="1">
      <c r="A14" s="8" t="s">
        <v>83</v>
      </c>
      <c r="B14" s="8"/>
    </row>
    <row r="15" spans="1:2" ht="16.5" customHeight="1">
      <c r="A15" s="95" t="s">
        <v>55</v>
      </c>
      <c r="B15" s="96">
        <f>SUM(B2)</f>
        <v>0.25</v>
      </c>
    </row>
    <row r="16" spans="1:2" ht="16.5" customHeight="1">
      <c r="A16" s="97" t="s">
        <v>56</v>
      </c>
      <c r="B16" s="98">
        <f>SUM(B15-((0.102/B3)+(0.054/(B3+40))))</f>
        <v>0.24399999999999999</v>
      </c>
    </row>
    <row r="17" spans="1:2" ht="16.5" customHeight="1">
      <c r="A17" s="99" t="s">
        <v>59</v>
      </c>
      <c r="B17" s="100">
        <f>SUM(B15-((0.32475953*B6)*2))</f>
        <v>0.217524047</v>
      </c>
    </row>
    <row r="18" spans="1:2" ht="16.5" customHeight="1">
      <c r="A18" s="99" t="s">
        <v>84</v>
      </c>
      <c r="B18" s="100">
        <f>SUM(B17-(0.004*(SQRT(B15-0.0005))))</f>
        <v>0.21552604800100125</v>
      </c>
    </row>
    <row r="19" spans="1:2" ht="16.5" customHeight="1">
      <c r="A19" s="99" t="s">
        <v>85</v>
      </c>
      <c r="B19" s="100">
        <f>SUM(B15-B9)</f>
        <v>0.18504809999999999</v>
      </c>
    </row>
    <row r="20" spans="1:2" ht="16.5" customHeight="1">
      <c r="A20" s="99" t="s">
        <v>86</v>
      </c>
      <c r="B20" s="100">
        <f>SUM(B19-((0.033/B3)+(0.25/(B3+40))))</f>
        <v>0.17923143333333333</v>
      </c>
    </row>
    <row r="21" spans="1:2" ht="16.5" customHeight="1">
      <c r="A21" s="66" t="s">
        <v>61</v>
      </c>
      <c r="B21" s="65">
        <f>SUM((0.5*B6)/COS(RADIANS(30)))</f>
        <v>2.8867513459481287E-2</v>
      </c>
    </row>
    <row r="22" spans="1:2" ht="16.5" customHeight="1">
      <c r="A22" s="66" t="s">
        <v>62</v>
      </c>
      <c r="B22" s="65">
        <f>IF(B3&lt;49,IF(B21&lt;0.019,0.018,IF(B21&lt;0.025,0.024,IF(B21&lt;0.03,0.029,IF(B21&lt;0.033,0.032,IF(B21&lt;0.041,0.04,IF(B21&lt;0.046,0.045,IF(B21&lt;0.056,0.055,IF(B21&lt;0.064,0.063,IF(B21&lt;0.073,0.072,IF(B21&lt;0.082,0.081,IF(B21&lt;0.093,0.092,IF(B21&lt;0.109,0.108,IF(B21&lt;0.121,0.12,IF(B21&lt;0.128,0.127,IF(B21&lt;0.144,0.143,IF(B21&lt;0.186,0.185)))))))))))))))),n/a)</f>
        <v>2.9000000000000001E-2</v>
      </c>
    </row>
    <row r="23" spans="1:2" ht="16.5" customHeight="1">
      <c r="A23" s="66" t="s">
        <v>63</v>
      </c>
      <c r="B23" s="65">
        <f>SUM(B17-(0.866025*B6)+(B22*3))</f>
        <v>0.26122279700000001</v>
      </c>
    </row>
    <row r="24" spans="1:2" ht="16.5" customHeight="1">
      <c r="A24" s="86" t="s">
        <v>64</v>
      </c>
      <c r="B24" s="72">
        <f>SUM(B18-(0.866025*B6)+(B22*3))</f>
        <v>0.25922479800100123</v>
      </c>
    </row>
    <row r="25" spans="1:2" ht="7.15" customHeight="1"/>
    <row r="26" spans="1:2" s="41" customFormat="1" ht="25.9" customHeight="1">
      <c r="A26" s="7" t="s">
        <v>87</v>
      </c>
      <c r="B26" s="7"/>
    </row>
    <row r="27" spans="1:2" s="41" customFormat="1" ht="16.5" customHeight="1">
      <c r="A27" s="95" t="s">
        <v>67</v>
      </c>
      <c r="B27" s="96">
        <f>SUM(B19+((0.033/B3)+(0.25/(B3+40))))</f>
        <v>0.19086476666666666</v>
      </c>
    </row>
    <row r="28" spans="1:2" s="41" customFormat="1" ht="16.5" customHeight="1">
      <c r="A28" s="97" t="s">
        <v>88</v>
      </c>
      <c r="B28" s="98">
        <f>SUM(B19+(0.02/B3))</f>
        <v>0.18604809999999999</v>
      </c>
    </row>
    <row r="29" spans="1:2" s="41" customFormat="1" ht="16.5" customHeight="1">
      <c r="A29" s="99" t="s">
        <v>70</v>
      </c>
      <c r="B29" s="100">
        <f>SUM(B17+(0.004*(SQRT(B15-0.0005))))</f>
        <v>0.21952204599899874</v>
      </c>
    </row>
    <row r="30" spans="1:2" s="41" customFormat="1" ht="16.5" customHeight="1">
      <c r="A30" s="99" t="s">
        <v>89</v>
      </c>
      <c r="B30" s="100">
        <f>SUM(B17+((0.004*SQRT(B15-0.0005))/4))</f>
        <v>0.21802354674974969</v>
      </c>
    </row>
    <row r="31" spans="1:2" s="41" customFormat="1" ht="16.5" customHeight="1">
      <c r="A31" s="99" t="s">
        <v>90</v>
      </c>
      <c r="B31" s="100">
        <f>SUM(B15+((0.04/B3)+(0.224/(B3+40))))</f>
        <v>0.25573333333333331</v>
      </c>
    </row>
    <row r="32" spans="1:2" s="41" customFormat="1" ht="16.5" customHeight="1">
      <c r="A32" s="101" t="s">
        <v>71</v>
      </c>
      <c r="B32" s="102">
        <f>SUM(B15+(0.112/(B3+40)))</f>
        <v>0.25186666666666668</v>
      </c>
    </row>
    <row r="33" spans="1:2" ht="16.5" customHeight="1">
      <c r="A33" s="73" t="s">
        <v>72</v>
      </c>
    </row>
    <row r="37" spans="1:2" ht="16.5" customHeight="1">
      <c r="B37" s="74" t="str">
        <f>ReadMe!A25</f>
        <v>20170618</v>
      </c>
    </row>
  </sheetData>
  <sheetProtection sheet="1" objects="1" scenarios="1"/>
  <mergeCells count="4">
    <mergeCell ref="A1:B1"/>
    <mergeCell ref="A5:B5"/>
    <mergeCell ref="A14:B14"/>
    <mergeCell ref="A26:B26"/>
  </mergeCells>
  <pageMargins left="0.78749999999999998" right="0.78749999999999998" top="1.0263888888888899" bottom="1.0263888888888899" header="0.78749999999999998" footer="0.78749999999999998"/>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dimension ref="A1:F40"/>
  <sheetViews>
    <sheetView zoomScaleNormal="100" workbookViewId="0">
      <selection activeCell="F40" sqref="F40"/>
    </sheetView>
  </sheetViews>
  <sheetFormatPr defaultRowHeight="12.75"/>
  <cols>
    <col min="1" max="3" width="19.42578125"/>
    <col min="4" max="4" width="4.85546875"/>
    <col min="5" max="1025" width="11.5703125"/>
  </cols>
  <sheetData>
    <row r="1" spans="1:6" ht="25.35" customHeight="1">
      <c r="A1" s="6" t="s">
        <v>91</v>
      </c>
      <c r="B1" s="6"/>
      <c r="C1" s="6"/>
      <c r="D1" s="6"/>
      <c r="E1" s="6"/>
      <c r="F1" s="6"/>
    </row>
    <row r="2" spans="1:6" ht="15.95" customHeight="1">
      <c r="A2" s="5" t="s">
        <v>92</v>
      </c>
      <c r="B2" s="5"/>
      <c r="C2" s="5"/>
      <c r="D2" s="5"/>
      <c r="E2" s="5"/>
      <c r="F2" s="103">
        <v>20</v>
      </c>
    </row>
    <row r="3" spans="1:6" ht="15.95" customHeight="1">
      <c r="A3" s="4"/>
      <c r="B3" s="4"/>
      <c r="C3" s="4"/>
      <c r="D3" s="4"/>
      <c r="E3" s="4"/>
      <c r="F3" s="104" t="s">
        <v>93</v>
      </c>
    </row>
    <row r="4" spans="1:6" ht="15.95" customHeight="1">
      <c r="A4" s="4" t="s">
        <v>94</v>
      </c>
      <c r="B4" s="4"/>
      <c r="C4" s="4"/>
      <c r="D4" s="4"/>
      <c r="E4" s="4"/>
      <c r="F4" s="105">
        <v>0</v>
      </c>
    </row>
    <row r="5" spans="1:6" ht="15.95" customHeight="1">
      <c r="A5" s="3" t="s">
        <v>95</v>
      </c>
      <c r="B5" s="3"/>
      <c r="C5" s="3"/>
      <c r="D5" s="3"/>
      <c r="E5" s="3"/>
      <c r="F5" s="106" t="s">
        <v>96</v>
      </c>
    </row>
    <row r="6" spans="1:6" ht="5.85" customHeight="1">
      <c r="A6" s="35"/>
      <c r="B6" s="35"/>
      <c r="C6" s="35"/>
      <c r="D6" s="35"/>
      <c r="E6" s="35"/>
      <c r="F6" s="35"/>
    </row>
    <row r="7" spans="1:6" ht="15.95" customHeight="1">
      <c r="A7" s="5" t="s">
        <v>97</v>
      </c>
      <c r="B7" s="5"/>
      <c r="C7" s="5"/>
      <c r="D7" s="5"/>
      <c r="E7" s="5"/>
      <c r="F7" s="107">
        <f>SUM(IF(SUM(F4),SUM(F4/0.54127),SUM(1/F2)))</f>
        <v>0.05</v>
      </c>
    </row>
    <row r="8" spans="1:6" ht="15.95" customHeight="1">
      <c r="A8" s="4" t="s">
        <v>98</v>
      </c>
      <c r="B8" s="4"/>
      <c r="C8" s="4"/>
      <c r="D8" s="4"/>
      <c r="E8" s="4"/>
      <c r="F8" s="108">
        <f>SUM(IF(SUM(F4),SUM(F4),SUM(0.54127*F7)))</f>
        <v>2.7063500000000004E-2</v>
      </c>
    </row>
    <row r="9" spans="1:6" ht="15.95" customHeight="1">
      <c r="A9" s="4" t="s">
        <v>99</v>
      </c>
      <c r="B9" s="4"/>
      <c r="C9" s="4"/>
      <c r="D9" s="4"/>
      <c r="E9" s="4"/>
      <c r="F9" s="109">
        <v>1E-3</v>
      </c>
    </row>
    <row r="10" spans="1:6" ht="15.95" customHeight="1">
      <c r="A10" s="4" t="s">
        <v>100</v>
      </c>
      <c r="B10" s="4"/>
      <c r="C10" s="4"/>
      <c r="D10" s="4"/>
      <c r="E10" s="4"/>
      <c r="F10" s="109">
        <f>SUM(F8-F9)</f>
        <v>2.6063500000000003E-2</v>
      </c>
    </row>
    <row r="11" spans="1:6" ht="15.95" customHeight="1">
      <c r="A11" s="4" t="s">
        <v>101</v>
      </c>
      <c r="B11" s="4"/>
      <c r="C11" s="4"/>
      <c r="D11" s="4"/>
      <c r="E11" s="4"/>
      <c r="F11" s="109">
        <f>SUM(TAN(RADIANS(60/2)))</f>
        <v>0.57735026918962573</v>
      </c>
    </row>
    <row r="12" spans="1:6" ht="15.95" customHeight="1">
      <c r="A12" s="4" t="s">
        <v>102</v>
      </c>
      <c r="B12" s="4"/>
      <c r="C12" s="4"/>
      <c r="D12" s="4"/>
      <c r="E12" s="4"/>
      <c r="F12" s="109">
        <f>IF(F5="I",SUM(F7/100),IF(F5="C",SUM((F7/100)*0.75),IF(F5="N",SUM((F7/100)/0.75))))</f>
        <v>5.0000000000000001E-4</v>
      </c>
    </row>
    <row r="13" spans="1:6" ht="15.95" customHeight="1">
      <c r="A13" s="4" t="s">
        <v>103</v>
      </c>
      <c r="B13" s="4"/>
      <c r="C13" s="4"/>
      <c r="D13" s="4"/>
      <c r="E13" s="4"/>
      <c r="F13" s="110">
        <v>4</v>
      </c>
    </row>
    <row r="14" spans="1:6" ht="15.95" customHeight="1">
      <c r="A14" s="3" t="s">
        <v>104</v>
      </c>
      <c r="B14" s="3"/>
      <c r="C14" s="3"/>
      <c r="D14" s="3"/>
      <c r="E14" s="3"/>
      <c r="F14" s="111">
        <f>SUM((F10*(F11*F10))/((F13-2)/2))</f>
        <v>3.9219752058167418E-4</v>
      </c>
    </row>
    <row r="15" spans="1:6" ht="5.85" customHeight="1">
      <c r="A15" s="35"/>
      <c r="B15" s="35"/>
      <c r="C15" s="35"/>
      <c r="D15" s="35"/>
      <c r="E15" s="35"/>
      <c r="F15" s="35"/>
    </row>
    <row r="16" spans="1:6" s="114" customFormat="1" ht="21.6" customHeight="1">
      <c r="A16" s="2" t="s">
        <v>105</v>
      </c>
      <c r="B16" s="2"/>
      <c r="C16" s="2"/>
      <c r="D16" s="2"/>
      <c r="E16" s="112" t="s">
        <v>106</v>
      </c>
      <c r="F16" s="113" t="s">
        <v>107</v>
      </c>
    </row>
    <row r="17" spans="1:6" ht="15.95" customHeight="1">
      <c r="A17" s="5" t="s">
        <v>108</v>
      </c>
      <c r="B17" s="5"/>
      <c r="C17" s="5"/>
      <c r="D17" s="115">
        <v>1</v>
      </c>
      <c r="E17" s="116">
        <f>SUM(SQRT((((F14/3)/2)/F11)))</f>
        <v>1.0640379318504894E-2</v>
      </c>
      <c r="F17" s="116">
        <f t="shared" ref="F17:F38" si="0">IF(E17="","",IF(E17="Spring","Spring",SUM(E17*2)))</f>
        <v>2.1280758637009789E-2</v>
      </c>
    </row>
    <row r="18" spans="1:6" ht="15.95" customHeight="1">
      <c r="A18" s="4" t="s">
        <v>108</v>
      </c>
      <c r="B18" s="4"/>
      <c r="C18" s="4"/>
      <c r="D18" s="117">
        <v>2</v>
      </c>
      <c r="E18" s="118">
        <f>IF(E17=F8,"Spring",IF(D18&lt;F13,SUM(SQRT((((F14*(D18-1))/2)/F11))),IF(D18=F13,F8,"")))</f>
        <v>1.8429677591455584E-2</v>
      </c>
      <c r="F18" s="118">
        <f t="shared" si="0"/>
        <v>3.6859355182911169E-2</v>
      </c>
    </row>
    <row r="19" spans="1:6" ht="15.95" customHeight="1">
      <c r="A19" s="4" t="s">
        <v>108</v>
      </c>
      <c r="B19" s="4"/>
      <c r="C19" s="4"/>
      <c r="D19" s="117">
        <v>3</v>
      </c>
      <c r="E19" s="118">
        <f>IF(E18=F8,"Spring",IF(D19&lt;F13,SUM(SQRT((((F14*(D19-1))/2)/F11))),IF(D19=F13,F8,"")))</f>
        <v>2.6063500000000003E-2</v>
      </c>
      <c r="F19" s="118">
        <f t="shared" si="0"/>
        <v>5.2127000000000007E-2</v>
      </c>
    </row>
    <row r="20" spans="1:6" ht="15.95" customHeight="1">
      <c r="A20" s="4" t="s">
        <v>108</v>
      </c>
      <c r="B20" s="4"/>
      <c r="C20" s="4"/>
      <c r="D20" s="117">
        <v>4</v>
      </c>
      <c r="E20" s="118">
        <f>IF(E19=F8,"Spring",IF(D20&lt;F13,SUM(SQRT((((F14*(D20-1))/2)/F11))),IF(D20=F13,F8,"")))</f>
        <v>2.7063500000000004E-2</v>
      </c>
      <c r="F20" s="118">
        <f t="shared" si="0"/>
        <v>5.4127000000000008E-2</v>
      </c>
    </row>
    <row r="21" spans="1:6" ht="15.95" customHeight="1">
      <c r="A21" s="4" t="s">
        <v>108</v>
      </c>
      <c r="B21" s="4"/>
      <c r="C21" s="4"/>
      <c r="D21" s="117">
        <v>5</v>
      </c>
      <c r="E21" s="118" t="str">
        <f>IF(E20=F8,"Spring",IF(D21&lt;F13,SUM(SQRT((((F14*(D21-1))/2)/F11))),IF(D21=F13,F8,"")))</f>
        <v>Spring</v>
      </c>
      <c r="F21" s="118" t="str">
        <f t="shared" si="0"/>
        <v>Spring</v>
      </c>
    </row>
    <row r="22" spans="1:6" ht="15.95" customHeight="1">
      <c r="A22" s="4" t="s">
        <v>108</v>
      </c>
      <c r="B22" s="4"/>
      <c r="C22" s="4"/>
      <c r="D22" s="117">
        <v>6</v>
      </c>
      <c r="E22" s="118" t="str">
        <f>IF(E21=F8,"Spring",IF(D22&lt;F13,SUM(SQRT((((F14*(D22-1))/2)/F11))),IF(D22=F13,F8,"")))</f>
        <v/>
      </c>
      <c r="F22" s="118" t="str">
        <f t="shared" si="0"/>
        <v/>
      </c>
    </row>
    <row r="23" spans="1:6" ht="15.95" customHeight="1">
      <c r="A23" s="4" t="s">
        <v>108</v>
      </c>
      <c r="B23" s="4"/>
      <c r="C23" s="4"/>
      <c r="D23" s="117">
        <v>7</v>
      </c>
      <c r="E23" s="118" t="str">
        <f>IF(E22=F8,"Spring",IF(D23&lt;F13,SUM(SQRT((((F14*(D23-1))/2)/F11))),IF(D23=F13,F8,"")))</f>
        <v/>
      </c>
      <c r="F23" s="118" t="str">
        <f t="shared" si="0"/>
        <v/>
      </c>
    </row>
    <row r="24" spans="1:6" ht="15.95" customHeight="1">
      <c r="A24" s="4" t="s">
        <v>108</v>
      </c>
      <c r="B24" s="4"/>
      <c r="C24" s="4"/>
      <c r="D24" s="117">
        <v>8</v>
      </c>
      <c r="E24" s="118" t="str">
        <f>IF(E23=F8,"Spring",IF(D24&lt;F13,SUM(SQRT((((F14*(D24-1))/2)/F11))),IF(D24=F13,F8,"")))</f>
        <v/>
      </c>
      <c r="F24" s="118" t="str">
        <f t="shared" si="0"/>
        <v/>
      </c>
    </row>
    <row r="25" spans="1:6" ht="15.95" customHeight="1">
      <c r="A25" s="4" t="s">
        <v>108</v>
      </c>
      <c r="B25" s="4"/>
      <c r="C25" s="4"/>
      <c r="D25" s="117">
        <v>9</v>
      </c>
      <c r="E25" s="118" t="str">
        <f>IF(E24=F8,"Spring",IF(D25&lt;F13,SUM(SQRT((((F14*(D25-1))/2)/F11))),IF(D25=F13,F8,"")))</f>
        <v/>
      </c>
      <c r="F25" s="118" t="str">
        <f t="shared" si="0"/>
        <v/>
      </c>
    </row>
    <row r="26" spans="1:6" ht="15.95" customHeight="1">
      <c r="A26" s="4" t="s">
        <v>108</v>
      </c>
      <c r="B26" s="4"/>
      <c r="C26" s="4"/>
      <c r="D26" s="117">
        <v>10</v>
      </c>
      <c r="E26" s="118" t="str">
        <f>IF(E25=F8,"Spring",IF(D26&lt;F13,SUM(SQRT((((F14*(D26-1))/2)/F11))),IF(D26=F13,F8,"")))</f>
        <v/>
      </c>
      <c r="F26" s="118" t="str">
        <f t="shared" si="0"/>
        <v/>
      </c>
    </row>
    <row r="27" spans="1:6" ht="15.95" customHeight="1">
      <c r="A27" s="4" t="s">
        <v>108</v>
      </c>
      <c r="B27" s="4"/>
      <c r="C27" s="4"/>
      <c r="D27" s="117">
        <v>11</v>
      </c>
      <c r="E27" s="118" t="str">
        <f>IF(E26=F8,"Spring",IF(D27&lt;F13,SUM(SQRT((((F14*(D27-1))/2)/F11))),IF(D27=F13,F8,"")))</f>
        <v/>
      </c>
      <c r="F27" s="118" t="str">
        <f t="shared" si="0"/>
        <v/>
      </c>
    </row>
    <row r="28" spans="1:6" ht="15.95" customHeight="1">
      <c r="A28" s="4" t="s">
        <v>108</v>
      </c>
      <c r="B28" s="4"/>
      <c r="C28" s="4"/>
      <c r="D28" s="117">
        <v>12</v>
      </c>
      <c r="E28" s="118" t="str">
        <f>IF(E27=F8,"Spring",IF(D28&lt;F13,SUM(SQRT((((F14*(D28-1))/2)/F11))),IF(D28=F13,F8,"")))</f>
        <v/>
      </c>
      <c r="F28" s="118" t="str">
        <f t="shared" si="0"/>
        <v/>
      </c>
    </row>
    <row r="29" spans="1:6" ht="15.95" customHeight="1">
      <c r="A29" s="4" t="s">
        <v>108</v>
      </c>
      <c r="B29" s="4"/>
      <c r="C29" s="4"/>
      <c r="D29" s="117">
        <v>13</v>
      </c>
      <c r="E29" s="118" t="str">
        <f>IF(E28=F8,"Spring",IF(D29&lt;F13,SUM(SQRT((((F14*(D29-1))/2)/F11))),IF(D29=F13,F8,"")))</f>
        <v/>
      </c>
      <c r="F29" s="118" t="str">
        <f t="shared" si="0"/>
        <v/>
      </c>
    </row>
    <row r="30" spans="1:6" ht="15.95" customHeight="1">
      <c r="A30" s="4" t="s">
        <v>108</v>
      </c>
      <c r="B30" s="4"/>
      <c r="C30" s="4"/>
      <c r="D30" s="117">
        <v>14</v>
      </c>
      <c r="E30" s="118" t="str">
        <f>IF(E29=F8,"Spring",IF(D30&lt;F13,SUM(SQRT((((F14*(D30-1))/2)/F11))),IF(D30=F13,F8,"")))</f>
        <v/>
      </c>
      <c r="F30" s="118" t="str">
        <f t="shared" si="0"/>
        <v/>
      </c>
    </row>
    <row r="31" spans="1:6" ht="15.95" customHeight="1">
      <c r="A31" s="4" t="s">
        <v>108</v>
      </c>
      <c r="B31" s="4"/>
      <c r="C31" s="4"/>
      <c r="D31" s="117">
        <v>15</v>
      </c>
      <c r="E31" s="118" t="str">
        <f>IF(E30=F8,"Spring",IF(D31&lt;F13,SUM(SQRT((((F14*(D31-1))/2)/F11))),IF(D31=F13,F8,"")))</f>
        <v/>
      </c>
      <c r="F31" s="118" t="str">
        <f t="shared" si="0"/>
        <v/>
      </c>
    </row>
    <row r="32" spans="1:6" ht="15.95" customHeight="1">
      <c r="A32" s="4" t="s">
        <v>108</v>
      </c>
      <c r="B32" s="4"/>
      <c r="C32" s="4"/>
      <c r="D32" s="117">
        <v>16</v>
      </c>
      <c r="E32" s="118" t="str">
        <f>IF(E31=F8,"Spring",IF(D32&lt;F13,SUM(SQRT((((F14*(D32-1))/2)/F11))),IF(D32=F13,F8,"")))</f>
        <v/>
      </c>
      <c r="F32" s="118" t="str">
        <f t="shared" si="0"/>
        <v/>
      </c>
    </row>
    <row r="33" spans="1:6" ht="15.95" customHeight="1">
      <c r="A33" s="4" t="s">
        <v>108</v>
      </c>
      <c r="B33" s="4"/>
      <c r="C33" s="4"/>
      <c r="D33" s="117">
        <v>17</v>
      </c>
      <c r="E33" s="118" t="str">
        <f>IF(E32=F8,"Spring",IF(D33&lt;F13,SUM(SQRT((((F14*(D33-1))/2)/F11))),IF(D33=F13,F8,"")))</f>
        <v/>
      </c>
      <c r="F33" s="118" t="str">
        <f t="shared" si="0"/>
        <v/>
      </c>
    </row>
    <row r="34" spans="1:6" ht="15.95" customHeight="1">
      <c r="A34" s="4" t="s">
        <v>108</v>
      </c>
      <c r="B34" s="4"/>
      <c r="C34" s="4"/>
      <c r="D34" s="117">
        <v>18</v>
      </c>
      <c r="E34" s="118" t="str">
        <f>IF(E33=F8,"Spring",IF(D34&lt;F13,SUM(SQRT((((F14*(D34-1))/2)/F11))),IF(D34=F13,F8,"")))</f>
        <v/>
      </c>
      <c r="F34" s="118" t="str">
        <f t="shared" si="0"/>
        <v/>
      </c>
    </row>
    <row r="35" spans="1:6" ht="15.95" customHeight="1">
      <c r="A35" s="4" t="s">
        <v>108</v>
      </c>
      <c r="B35" s="4"/>
      <c r="C35" s="4"/>
      <c r="D35" s="117">
        <v>19</v>
      </c>
      <c r="E35" s="118" t="str">
        <f>IF(E34=F8,"Spring",IF(D35&lt;F13,SUM(SQRT((((F14*(D35-1))/2)/F11))),IF(D35=F13,F8,"")))</f>
        <v/>
      </c>
      <c r="F35" s="118" t="str">
        <f t="shared" si="0"/>
        <v/>
      </c>
    </row>
    <row r="36" spans="1:6" ht="15.95" customHeight="1">
      <c r="A36" s="4" t="s">
        <v>108</v>
      </c>
      <c r="B36" s="4"/>
      <c r="C36" s="4"/>
      <c r="D36" s="117">
        <v>20</v>
      </c>
      <c r="E36" s="118" t="str">
        <f>IF(E35=F8,"Spring",IF(D36&lt;F13,SUM(SQRT((((F14*(D36-1))/2)/F11))),IF(D36=F13,F8,"")))</f>
        <v/>
      </c>
      <c r="F36" s="118" t="str">
        <f t="shared" si="0"/>
        <v/>
      </c>
    </row>
    <row r="37" spans="1:6" ht="15.95" customHeight="1">
      <c r="A37" s="4" t="s">
        <v>108</v>
      </c>
      <c r="B37" s="4"/>
      <c r="C37" s="4"/>
      <c r="D37" s="117">
        <v>21</v>
      </c>
      <c r="E37" s="118" t="str">
        <f>IF(E36=F8,"Spring",IF(D37&lt;F13,SUM(SQRT((((F14*(D37-1))/2)/F11))),IF(D37=F13,F8,"")))</f>
        <v/>
      </c>
      <c r="F37" s="118" t="str">
        <f t="shared" si="0"/>
        <v/>
      </c>
    </row>
    <row r="38" spans="1:6" ht="15.95" customHeight="1">
      <c r="A38" s="4" t="s">
        <v>108</v>
      </c>
      <c r="B38" s="4"/>
      <c r="C38" s="4"/>
      <c r="D38" s="117">
        <v>22</v>
      </c>
      <c r="E38" s="118" t="str">
        <f>IF(E37=F8,"Spring",IF(D38&lt;F13,SUM(SQRT((((F14*(D38-1))/2)/F11))),IF(D38=F13,F8,"")))</f>
        <v/>
      </c>
      <c r="F38" s="118" t="str">
        <f t="shared" si="0"/>
        <v/>
      </c>
    </row>
    <row r="39" spans="1:6" ht="15.95" customHeight="1">
      <c r="A39" s="3" t="s">
        <v>108</v>
      </c>
      <c r="B39" s="3"/>
      <c r="C39" s="3"/>
      <c r="D39" s="119">
        <v>23</v>
      </c>
      <c r="E39" s="120" t="str">
        <f>IF(E37=F8,"Spring",IF(D39&lt;=F13,"Error",""))</f>
        <v/>
      </c>
      <c r="F39" s="120" t="str">
        <f>IF(E39="","",IF(E39="Spring","Spring",IF(E39="Error","Error")))</f>
        <v/>
      </c>
    </row>
    <row r="40" spans="1:6" ht="19.350000000000001" customHeight="1">
      <c r="A40" s="1" t="s">
        <v>109</v>
      </c>
      <c r="B40" s="1"/>
      <c r="C40" s="1"/>
      <c r="D40" s="1"/>
      <c r="E40" s="1"/>
      <c r="F40" s="121" t="str">
        <f>ReadMe!A25</f>
        <v>20170618</v>
      </c>
    </row>
  </sheetData>
  <sheetProtection sheet="1" objects="1" scenarios="1"/>
  <mergeCells count="38">
    <mergeCell ref="A38:C38"/>
    <mergeCell ref="A39:C39"/>
    <mergeCell ref="A40:E40"/>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2:E12"/>
    <mergeCell ref="A13:E13"/>
    <mergeCell ref="A14:E14"/>
    <mergeCell ref="A16:D16"/>
    <mergeCell ref="A17:C17"/>
    <mergeCell ref="A7:E7"/>
    <mergeCell ref="A8:E8"/>
    <mergeCell ref="A9:E9"/>
    <mergeCell ref="A10:E10"/>
    <mergeCell ref="A11:E11"/>
    <mergeCell ref="A1:F1"/>
    <mergeCell ref="A2:E2"/>
    <mergeCell ref="A3:E3"/>
    <mergeCell ref="A4:E4"/>
    <mergeCell ref="A5:E5"/>
  </mergeCells>
  <pageMargins left="0.78749999999999998" right="0.78749999999999998" top="1.0263888888888899" bottom="1.0263888888888899" header="0.78749999999999998" footer="0.78749999999999998"/>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otalTime>443917</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ASME-2A_and_2B_Threads</vt:lpstr>
      <vt:lpstr>ASME 2A and 2B Machine Screw Th</vt:lpstr>
      <vt:lpstr> USS and SAE Threads</vt:lpstr>
      <vt:lpstr>Thread_Passes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Cason</dc:creator>
  <cp:lastModifiedBy>Owner</cp:lastModifiedBy>
  <cp:revision>173</cp:revision>
  <cp:lastPrinted>2017-05-28T14:26:14Z</cp:lastPrinted>
  <dcterms:created xsi:type="dcterms:W3CDTF">2009-08-24T02:09:36Z</dcterms:created>
  <dcterms:modified xsi:type="dcterms:W3CDTF">2017-06-20T14:53:56Z</dcterms:modified>
  <dc:language>en-US</dc:language>
</cp:coreProperties>
</file>